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iDgT+Bm6rzd5HOJsGlEGEY8sQ+hxkFhHvDjiMoJDUMt5aAr6Sho/gPtsNk/eK+DJi0XD9r5lxrlPh2hOHcP7UQ==" workbookSaltValue="GsHY7cDbHxWqHm5OTtgZT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S9" i="17"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H12" i="2" s="1"/>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R13" i="17"/>
  <c r="BD11" i="13"/>
  <c r="BF18" i="8"/>
  <c r="AN21" i="13"/>
  <c r="D20" i="12"/>
  <c r="ER21" i="8"/>
  <c r="N19" i="11"/>
  <c r="AE14" i="21"/>
  <c r="AL16" i="11"/>
  <c r="EL21" i="8"/>
  <c r="EQ21" i="8"/>
  <c r="EN21" i="8"/>
  <c r="K20" i="11"/>
  <c r="BA14" i="16"/>
  <c r="N10" i="11"/>
  <c r="N9" i="11"/>
  <c r="ES21" i="8"/>
  <c r="AQ19" i="11"/>
  <c r="AK21" i="8"/>
  <c r="EP21" i="8"/>
  <c r="ER21" i="13"/>
  <c r="AL14" i="16"/>
  <c r="EP21" i="19"/>
  <c r="AZ19" i="11"/>
  <c r="S14" i="16"/>
  <c r="V12" i="21"/>
  <c r="P14" i="16"/>
  <c r="Z14" i="17"/>
  <c r="F18" i="17"/>
  <c r="AQ18" i="17" s="1"/>
  <c r="V18" i="16"/>
  <c r="K20" i="2"/>
  <c r="M14" i="2"/>
  <c r="N14" i="2"/>
  <c r="F14" i="7"/>
  <c r="T14" i="12"/>
  <c r="BK16" i="11"/>
  <c r="AP10" i="21"/>
  <c r="V13" i="11"/>
  <c r="BI16" i="11"/>
  <c r="BM13" i="11"/>
  <c r="AP16" i="20"/>
  <c r="BL11" i="11"/>
  <c r="BL13" i="11"/>
  <c r="BM16" i="11"/>
  <c r="T16" i="16"/>
  <c r="BV19" i="16"/>
  <c r="BV13" i="16"/>
  <c r="BV17" i="16"/>
  <c r="BV16" i="16"/>
  <c r="U13" i="17"/>
  <c r="BW11" i="20"/>
  <c r="U10" i="17"/>
  <c r="BV10" i="16"/>
  <c r="BU18" i="17"/>
  <c r="V12" i="16"/>
  <c r="BU17" i="17"/>
  <c r="BV9" i="16"/>
  <c r="T14" i="16"/>
  <c r="AA16" i="16"/>
  <c r="S11" i="14"/>
  <c r="V11" i="14" s="1"/>
  <c r="T17" i="11"/>
  <c r="BG12" i="11"/>
  <c r="Q18" i="17"/>
  <c r="BH10" i="11"/>
  <c r="BI9" i="11"/>
  <c r="AQ10" i="21"/>
  <c r="S10" i="17"/>
  <c r="BH10" i="16"/>
  <c r="Q16" i="17"/>
  <c r="BM18" i="11"/>
  <c r="BF16" i="11"/>
  <c r="BH17" i="11"/>
  <c r="AQ12" i="21"/>
  <c r="BJ17" i="11"/>
  <c r="BL17" i="11"/>
  <c r="AY20" i="8"/>
  <c r="BF16" i="8"/>
  <c r="AY14" i="8"/>
  <c r="BG16" i="8"/>
  <c r="K16" i="7" s="1"/>
  <c r="BD9" i="8"/>
  <c r="BE9" i="8"/>
  <c r="E14" i="17"/>
  <c r="AH14" i="16"/>
  <c r="S17" i="17"/>
  <c r="L17" i="2"/>
  <c r="L13" i="2"/>
  <c r="X10" i="21"/>
  <c r="X16" i="16"/>
  <c r="X20" i="16" s="1"/>
  <c r="V10" i="16"/>
  <c r="T14" i="20"/>
  <c r="X13" i="16"/>
  <c r="T20" i="17"/>
  <c r="BF16" i="13"/>
  <c r="BG16" i="13"/>
  <c r="BB20" i="13"/>
  <c r="BE17" i="13"/>
  <c r="BE16" i="13"/>
  <c r="BF17" i="13"/>
  <c r="Y22" i="20"/>
  <c r="AQ22" i="20"/>
  <c r="U10" i="11"/>
  <c r="W22" i="21"/>
  <c r="AF22" i="20"/>
  <c r="U18" i="11"/>
  <c r="AL22" i="20"/>
  <c r="AE22" i="20"/>
  <c r="AG22" i="20"/>
  <c r="L22" i="20"/>
  <c r="M22" i="20"/>
  <c r="N22" i="20"/>
  <c r="K22" i="20"/>
  <c r="AC22" i="20"/>
  <c r="AA22" i="20"/>
  <c r="U12" i="11"/>
  <c r="AQ22" i="21"/>
  <c r="U17" i="11"/>
  <c r="G14" i="14"/>
  <c r="W22" i="20"/>
  <c r="AE21" i="8" l="1"/>
  <c r="G20" i="12"/>
  <c r="D14" i="7"/>
  <c r="R21" i="8"/>
  <c r="BG10" i="8"/>
  <c r="F13" i="2"/>
  <c r="B19" i="6"/>
  <c r="M20" i="2"/>
  <c r="N20" i="2"/>
  <c r="F11" i="16"/>
  <c r="BL11" i="16" s="1"/>
  <c r="BW17" i="20"/>
  <c r="BW13" i="20"/>
  <c r="BW9" i="20"/>
  <c r="BU16" i="17"/>
  <c r="T18" i="16"/>
  <c r="BG19" i="11"/>
  <c r="AQ14" i="21"/>
  <c r="BG16" i="11"/>
  <c r="BJ12" i="11"/>
  <c r="BI19" i="11"/>
  <c r="S9" i="14"/>
  <c r="V9" i="14" s="1"/>
  <c r="BM12" i="11"/>
  <c r="X12" i="21"/>
  <c r="AP17" i="20"/>
  <c r="BH9" i="16"/>
  <c r="BL19" i="11"/>
  <c r="BL9" i="11"/>
  <c r="BK13" i="11"/>
  <c r="BH18" i="16"/>
  <c r="BM17" i="11"/>
  <c r="V11" i="16"/>
  <c r="BF10" i="1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Q9" i="11" s="1"/>
  <c r="BH12" i="16"/>
  <c r="BK10" i="11"/>
  <c r="BK14" i="11" s="1"/>
  <c r="S16" i="17"/>
  <c r="L12" i="2"/>
  <c r="X19" i="16"/>
  <c r="L18" i="2"/>
  <c r="L19" i="2"/>
  <c r="U9" i="17"/>
  <c r="U21" i="17" s="1"/>
  <c r="L9" i="2"/>
  <c r="V9" i="16"/>
  <c r="BG10" i="11"/>
  <c r="BH16" i="16"/>
  <c r="Q18" i="20"/>
  <c r="Q20" i="20" s="1"/>
  <c r="BF18" i="11"/>
  <c r="BH19" i="11"/>
  <c r="BK19" i="11"/>
  <c r="BK9" i="11"/>
  <c r="S13" i="17"/>
  <c r="S12" i="14"/>
  <c r="V12" i="14" s="1"/>
  <c r="S19" i="14"/>
  <c r="V19" i="14" s="1"/>
  <c r="S17" i="14"/>
  <c r="V17" i="14"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H18" i="7" s="1"/>
  <c r="AP19" i="11"/>
  <c r="S20" i="16"/>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E11" i="12"/>
  <c r="AC11" i="11"/>
  <c r="AC16" i="11"/>
  <c r="AP16" i="11"/>
  <c r="AV14" i="11"/>
  <c r="AB20" i="11"/>
  <c r="I20" i="11"/>
  <c r="D18" i="6"/>
  <c r="J18" i="12" s="1"/>
  <c r="AN13" i="11"/>
  <c r="B13" i="6"/>
  <c r="J13" i="7"/>
  <c r="H11" i="2"/>
  <c r="AN9" i="11"/>
  <c r="L9" i="14"/>
  <c r="AL17" i="11"/>
  <c r="AO17" i="11"/>
  <c r="D16" i="6"/>
  <c r="BI16" i="16"/>
  <c r="B16" i="6"/>
  <c r="E16" i="6"/>
  <c r="L16" i="14"/>
  <c r="C16" i="6"/>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AI22" i="20"/>
  <c r="T22" i="21"/>
  <c r="O18" i="11"/>
  <c r="AX22" i="20"/>
  <c r="G20" i="14"/>
  <c r="O10" i="11"/>
  <c r="X22" i="20"/>
  <c r="AN22" i="20"/>
  <c r="T22" i="20"/>
  <c r="AD22" i="20"/>
  <c r="AP22" i="20"/>
  <c r="Q22" i="20"/>
  <c r="AZ22" i="20"/>
  <c r="H22" i="20"/>
  <c r="K17" i="12" l="1"/>
  <c r="I12"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P22" i="20"/>
  <c r="H22" i="17"/>
  <c r="J22" i="20"/>
  <c r="S22" i="20"/>
  <c r="AW22" i="11"/>
  <c r="AV22" i="21"/>
  <c r="I22" i="20"/>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M22" i="21"/>
  <c r="P22" i="11"/>
  <c r="AU22" i="16"/>
  <c r="AI22" i="16"/>
  <c r="L22" i="11"/>
  <c r="F22" i="11"/>
  <c r="V22" i="16"/>
  <c r="I22" i="17"/>
  <c r="AK22" i="21"/>
  <c r="AB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AT22" i="17"/>
  <c r="O22" i="11"/>
  <c r="BD22" i="16"/>
  <c r="AF22" i="16"/>
  <c r="BQ22" i="16"/>
  <c r="N22" i="17"/>
  <c r="AW22" i="21"/>
  <c r="Y22" i="16"/>
  <c r="AO22" i="17"/>
  <c r="AY22" i="16"/>
  <c r="AW22" i="16"/>
  <c r="AG22" i="16"/>
  <c r="AN22" i="21"/>
  <c r="Q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<sst xmlns="http://schemas.openxmlformats.org/spreadsheetml/2006/main" count="2229" uniqueCount="979">
  <si>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</si>
  <si>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</si>
  <si>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</si>
  <si>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</si>
  <si>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</si>
  <si>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</si>
  <si>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</si>
  <si>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</si>
  <si>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</si>
  <si>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</si>
  <si>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</si>
  <si>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</si>
  <si>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</si>
  <si>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</si>
  <si>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</si>
  <si>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</si>
  <si>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</si>
  <si>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</si>
  <si>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</si>
  <si>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</si>
  <si>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</si>
  <si>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</si>
  <si>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</si>
  <si>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</si>
  <si>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</si>
  <si>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</si>
  <si>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</si>
  <si>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</si>
  <si>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</si>
  <si>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</si>
  <si>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</si>
  <si>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</si>
  <si>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</si>
  <si>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</si>
  <si>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</si>
  <si>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</si>
  <si>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</si>
  <si>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</si>
  <si>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</si>
  <si>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</si>
  <si>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</si>
  <si>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</si>
  <si>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</si>
  <si>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</si>
  <si>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</si>
  <si>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</si>
  <si>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</si>
  <si>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</si>
  <si>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</si>
  <si>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</si>
  <si>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</si>
  <si>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</si>
  <si>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</si>
  <si>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</si>
  <si>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</si>
  <si>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</si>
  <si>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</si>
  <si>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</si>
  <si>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</si>
  <si>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</si>
  <si>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</si>
  <si>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</si>
  <si>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</si>
  <si>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</si>
  <si>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</si>
  <si>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</si>
  <si>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</si>
  <si>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</si>
  <si>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</si>
  <si>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</si>
  <si>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</si>
  <si>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</si>
  <si>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</si>
  <si>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</si>
  <si>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</si>
  <si>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</si>
  <si>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</si>
  <si>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</si>
  <si>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</si>
  <si>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</si>
  <si>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</si>
  <si>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</si>
  <si>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</si>
  <si>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</si>
  <si>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</si>
  <si>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</si>
  <si>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</si>
  <si>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</si>
  <si>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</si>
  <si>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</si>
  <si>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</si>
  <si>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</si>
  <si>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</si>
  <si>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</si>
  <si>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</si>
  <si>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</si>
  <si>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</si>
  <si>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</si>
  <si>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</si>
  <si>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</si>
  <si>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</si>
  <si>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</si>
  <si>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</si>
  <si>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</si>
  <si>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</si>
  <si>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</si>
  <si>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</si>
  <si>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</si>
  <si>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</si>
  <si>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</si>
  <si>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</si>
  <si>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</si>
  <si>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</si>
  <si>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</si>
  <si>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</si>
  <si>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</si>
  <si>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</si>
  <si>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</si>
  <si>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</si>
  <si>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</si>
  <si>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</si>
  <si>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</si>
  <si>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</si>
  <si>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</si>
  <si>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</si>
  <si>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</si>
  <si>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</si>
  <si>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</si>
  <si>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</si>
  <si>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</si>
  <si>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</si>
  <si>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</si>
  <si>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</si>
  <si>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</si>
  <si>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</si>
  <si>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</si>
  <si>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</si>
  <si>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</si>
  <si>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</si>
  <si>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</si>
  <si>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</si>
  <si>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</si>
  <si>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</si>
  <si>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</si>
  <si>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</si>
  <si>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</si>
  <si>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</si>
  <si>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</si>
  <si>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</si>
  <si>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</si>
  <si>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</si>
  <si>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</si>
  <si>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</si>
  <si>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</si>
  <si>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</si>
  <si>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</si>
  <si>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</si>
  <si>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</si>
  <si>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</si>
  <si>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</si>
  <si>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</si>
  <si>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</si>
  <si>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</si>
  <si>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</si>
  <si>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</si>
  <si>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</si>
  <si>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</si>
  <si>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</si>
  <si>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</si>
  <si>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</si>
  <si>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</si>
  <si>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</si>
  <si>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</si>
  <si>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</si>
  <si>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</si>
  <si>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</si>
  <si>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</si>
  <si>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</si>
  <si>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</si>
  <si>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</si>
  <si>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</si>
  <si>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</si>
  <si>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</si>
  <si>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</si>
  <si>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</si>
  <si>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</si>
  <si>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</si>
  <si>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</si>
  <si>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</si>
  <si>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</si>
  <si>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</si>
  <si>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</si>
  <si>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</si>
  <si>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</si>
  <si>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</si>
  <si>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</si>
  <si>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</si>
  <si>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</si>
  <si>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</si>
  <si>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</si>
  <si>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</si>
  <si>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</si>
  <si>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</si>
  <si>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</si>
  <si>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</si>
  <si>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</si>
  <si>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</si>
  <si>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</si>
  <si>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</si>
  <si>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</si>
  <si>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</si>
  <si>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</si>
  <si>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</si>
  <si>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</si>
  <si>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</si>
  <si>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</si>
  <si>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</si>
  <si>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</si>
  <si>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</si>
  <si>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</si>
  <si>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</si>
  <si>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</si>
  <si>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</si>
  <si>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</si>
  <si>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</si>
  <si>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</si>
  <si>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</si>
  <si>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</si>
  <si>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</si>
  <si>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</si>
  <si>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</si>
  <si>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</si>
  <si>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</si>
  <si>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</si>
  <si>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</si>
  <si>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</si>
  <si>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</si>
  <si>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</si>
  <si>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</si>
  <si>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</si>
  <si>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</si>
  <si>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</si>
  <si>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</si>
  <si>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</si>
  <si>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</si>
  <si>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</si>
  <si>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</si>
  <si>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</si>
  <si>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</si>
  <si>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</si>
  <si>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</si>
  <si>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</si>
  <si>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</si>
  <si>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</si>
  <si>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</si>
  <si>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</si>
  <si>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</si>
  <si>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</si>
  <si>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</si>
  <si>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</si>
  <si>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</si>
  <si>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</si>
  <si>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</si>
  <si>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</si>
  <si>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</si>
  <si>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</si>
  <si>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</si>
  <si>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</si>
  <si>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</si>
  <si>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</si>
  <si>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</si>
  <si>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</si>
  <si>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</si>
  <si>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</si>
  <si>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</si>
  <si>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</si>
  <si>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</si>
  <si>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</si>
  <si>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</si>
  <si>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</si>
  <si>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</si>
  <si>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</si>
  <si>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</si>
  <si>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</si>
  <si>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</si>
  <si>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</si>
  <si>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</si>
  <si>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</si>
  <si>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</si>
  <si>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</si>
  <si>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</si>
  <si>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</si>
  <si>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</si>
  <si>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</si>
  <si>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</si>
  <si>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</si>
  <si>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</si>
  <si>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</si>
  <si>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</si>
  <si>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</si>
  <si>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</si>
  <si>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</si>
  <si>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</si>
  <si>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</si>
  <si>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</si>
  <si>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</si>
  <si>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</si>
  <si>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</si>
  <si>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</si>
  <si>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</si>
  <si>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</si>
  <si>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</si>
  <si>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</si>
  <si>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</si>
  <si>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</si>
  <si>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</si>
  <si>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</si>
  <si>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</si>
  <si>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</si>
  <si>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</si>
  <si>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</si>
  <si>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</si>
  <si>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</si>
  <si>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</si>
  <si>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</si>
  <si>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</si>
  <si>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</si>
  <si>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</si>
  <si>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</si>
  <si>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</si>
  <si>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</si>
  <si>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</si>
  <si>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</si>
  <si>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</si>
  <si>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</si>
  <si>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</si>
  <si>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</si>
  <si>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</si>
  <si>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</si>
  <si>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</si>
  <si>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</si>
  <si>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</si>
  <si>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</si>
  <si>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</si>
  <si>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</si>
  <si>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</si>
  <si>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</si>
  <si>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</si>
  <si>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</si>
  <si>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</si>
  <si>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</si>
  <si>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</si>
  <si>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</si>
  <si>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</si>
  <si>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</si>
  <si>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</si>
  <si>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</si>
  <si>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</si>
  <si>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</si>
  <si>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</si>
  <si>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</si>
  <si>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</si>
  <si>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</si>
  <si>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</si>
  <si>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</si>
  <si>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</si>
  <si>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</si>
  <si>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</si>
  <si>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</si>
  <si>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</si>
  <si>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</si>
  <si>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</si>
  <si>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</si>
  <si>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</si>
  <si>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</si>
  <si>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</si>
  <si>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</si>
  <si>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</si>
  <si>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</si>
  <si>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</si>
  <si>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</si>
  <si>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</si>
  <si>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</si>
  <si>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</si>
  <si>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</si>
  <si>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</si>
  <si>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</si>
  <si>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</si>
  <si>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</si>
  <si>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</si>
  <si>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</si>
  <si>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</si>
  <si>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</si>
  <si>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</si>
  <si>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</si>
  <si>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</si>
  <si>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</si>
  <si>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</si>
  <si>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</si>
  <si>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</si>
  <si>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</si>
  <si>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</si>
  <si>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</si>
  <si>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</si>
  <si>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</si>
  <si>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</si>
  <si>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</si>
  <si>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</si>
  <si>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</si>
  <si>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</si>
  <si>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</si>
  <si>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</si>
  <si>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</si>
  <si>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</si>
  <si>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</si>
  <si>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</si>
  <si>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</si>
  <si>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</si>
  <si>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</si>
  <si>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</si>
  <si>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</si>
  <si>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</si>
  <si>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</si>
  <si>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</si>
  <si>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</si>
  <si>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</si>
  <si>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</si>
  <si>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</si>
  <si>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</si>
  <si>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</si>
  <si>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</si>
  <si>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</si>
  <si>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</si>
  <si>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</si>
  <si>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</si>
  <si>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</si>
  <si>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</si>
  <si>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</si>
  <si>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</si>
  <si>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</si>
  <si>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</si>
  <si>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</si>
  <si>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</si>
  <si>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</si>
  <si>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</si>
  <si>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</si>
  <si>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</si>
  <si>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</si>
  <si>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</si>
  <si>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</si>
  <si>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</si>
  <si>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</si>
  <si>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</si>
  <si>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</si>
  <si>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</si>
  <si>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</si>
  <si>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</si>
  <si>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</si>
  <si>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</si>
  <si>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</si>
  <si>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</si>
  <si>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</si>
  <si>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</si>
  <si>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</si>
  <si>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</si>
  <si>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</si>
  <si>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</si>
  <si>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</si>
  <si>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</si>
  <si>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</si>
  <si>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</si>
  <si>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</si>
  <si>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</si>
  <si>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</si>
  <si>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</si>
  <si>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</si>
  <si>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</si>
  <si>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</si>
  <si>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</si>
  <si>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</si>
  <si>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</si>
  <si>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</si>
  <si>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</si>
  <si>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</si>
  <si>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</si>
  <si>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</si>
  <si>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</si>
  <si>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</si>
  <si>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</si>
  <si>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</si>
  <si>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</si>
  <si>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</si>
  <si>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</si>
  <si>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</si>
  <si>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</si>
  <si>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</si>
  <si>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</si>
  <si>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</si>
  <si>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</si>
  <si>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</si>
  <si>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</si>
  <si>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</si>
  <si>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</si>
  <si>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</si>
  <si>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</si>
  <si>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</si>
  <si>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</si>
  <si>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</si>
  <si>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</si>
  <si>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</si>
  <si>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</si>
  <si>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</si>
  <si>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</si>
  <si>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</si>
  <si>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</si>
  <si>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</si>
  <si>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</si>
  <si>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</si>
  <si>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</si>
  <si>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</si>
  <si>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</si>
  <si>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</si>
  <si>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</si>
  <si>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</si>
  <si>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</si>
  <si>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</si>
  <si>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</si>
  <si>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</si>
  <si>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</si>
  <si>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</si>
  <si>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</si>
  <si>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</si>
  <si>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</si>
  <si>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</si>
  <si>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</si>
  <si>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</si>
  <si>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</si>
  <si>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</si>
  <si>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</si>
  <si>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</si>
  <si>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</si>
  <si>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</si>
  <si>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</si>
  <si>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</si>
  <si>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</si>
  <si>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</si>
  <si>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</si>
  <si>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</si>
  <si>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</si>
  <si>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</si>
  <si>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</si>
  <si>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</si>
  <si>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</si>
  <si>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</si>
  <si>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</si>
  <si>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</si>
  <si>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</si>
  <si>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</si>
  <si>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</si>
  <si>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</si>
  <si>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</si>
  <si>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</si>
  <si>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</si>
  <si>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</si>
  <si>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</si>
  <si>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</si>
  <si>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</si>
  <si>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</si>
  <si>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</si>
  <si>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</si>
  <si>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</si>
  <si>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</si>
  <si>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</si>
  <si>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</si>
  <si>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</si>
  <si>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</si>
  <si>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</si>
  <si>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</si>
  <si>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</si>
  <si>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</si>
  <si>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</si>
  <si>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</si>
  <si>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</si>
  <si>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</si>
  <si>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</si>
  <si>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</si>
  <si>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</si>
  <si>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</si>
  <si>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</si>
  <si>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</si>
  <si>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</si>
  <si>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</si>
  <si>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</si>
  <si>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</si>
  <si>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</si>
  <si>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</si>
  <si>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</si>
  <si>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</si>
  <si>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</si>
  <si>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</si>
  <si>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</si>
  <si>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</si>
  <si>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</si>
  <si>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</si>
  <si>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</si>
  <si>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</si>
  <si>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</si>
  <si>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</si>
  <si>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</si>
  <si>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</si>
  <si>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</si>
  <si>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</si>
  <si>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</si>
  <si>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</si>
  <si>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</si>
  <si>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</si>
  <si>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</si>
  <si>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</si>
  <si>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</si>
  <si>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</si>
  <si>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</si>
  <si>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</si>
  <si>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</si>
  <si>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</si>
  <si>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</si>
  <si>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</si>
  <si>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</si>
  <si>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</si>
  <si>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</si>
  <si>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</si>
  <si>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</si>
  <si>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</si>
  <si>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</si>
  <si>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</si>
  <si>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</si>
  <si>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</si>
  <si>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</si>
  <si>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</si>
  <si>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</si>
  <si>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</si>
  <si>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</si>
  <si>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</si>
  <si>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</si>
  <si>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</si>
  <si>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</si>
  <si>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</si>
  <si>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</si>
  <si>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</si>
  <si>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</si>
  <si>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</si>
  <si>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</si>
  <si>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</si>
  <si>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</si>
  <si>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</si>
  <si>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</si>
  <si>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</si>
  <si>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</si>
  <si>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</si>
  <si>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</si>
  <si>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</si>
  <si>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</si>
  <si>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</si>
  <si>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</si>
  <si>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</si>
  <si>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</si>
  <si>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</si>
  <si>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</si>
  <si>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</si>
  <si>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</si>
  <si>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</si>
  <si>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</si>
  <si>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</si>
  <si>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</si>
  <si>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</si>
  <si>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</si>
  <si>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</si>
  <si>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</si>
  <si>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</si>
  <si>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</si>
  <si>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</si>
  <si>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</si>
  <si>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</si>
  <si>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</si>
  <si>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</si>
  <si>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</si>
  <si>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</si>
  <si>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</si>
  <si>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</si>
  <si>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</si>
  <si>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</si>
  <si>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</si>
  <si>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</si>
  <si>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</si>
  <si>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</si>
  <si>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</si>
  <si>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</si>
  <si>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</si>
  <si>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</si>
  <si>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</si>
  <si>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</si>
  <si>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</si>
  <si>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</si>
  <si>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</si>
  <si>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</si>
  <si>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</si>
  <si>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</si>
  <si>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</si>
  <si>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</si>
  <si>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</si>
  <si>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</si>
  <si>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</si>
  <si>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</si>
  <si>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</si>
  <si>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</si>
  <si>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</si>
  <si>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</si>
  <si>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</si>
  <si>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</si>
  <si>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</si>
  <si>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</si>
  <si>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</si>
  <si>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</si>
  <si>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</si>
  <si>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</si>
  <si>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</si>
  <si>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</si>
  <si>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</si>
  <si>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</si>
  <si>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</si>
  <si>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</si>
  <si>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</si>
  <si>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</si>
  <si>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</si>
  <si>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</si>
  <si>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</si>
  <si>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</si>
  <si>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</si>
  <si>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</si>
  <si>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</si>
  <si>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</si>
  <si>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</si>
  <si>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</si>
  <si>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</si>
  <si>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</si>
  <si>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</si>
  <si>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</si>
  <si>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</si>
  <si>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</si>
  <si>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</si>
  <si>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</si>
  <si>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</si>
  <si>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</si>
  <si>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</si>
  <si>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</si>
  <si>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</si>
  <si>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</si>
  <si>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</si>
  <si>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</si>
  <si>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</si>
  <si>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</si>
  <si>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</si>
  <si>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</si>
  <si>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</si>
  <si>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</si>
  <si>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</si>
  <si>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</si>
  <si>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</si>
  <si>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</si>
  <si>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</si>
  <si>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</si>
  <si>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</si>
  <si>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</si>
  <si>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</si>
  <si>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</si>
  <si>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</si>
  <si>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</si>
  <si>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</si>
  <si>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</si>
  <si>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</si>
  <si>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</si>
  <si>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</si>
  <si>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</si>
  <si>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</si>
  <si>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</si>
  <si>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</si>
  <si>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</si>
  <si>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</si>
  <si>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</si>
  <si>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</si>
  <si>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</si>
  <si>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</si>
  <si>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</si>
  <si>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</si>
  <si>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</si>
  <si>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</si>
  <si>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</si>
  <si>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</si>
  <si>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</si>
  <si>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</si>
  <si>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</si>
  <si>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</si>
  <si>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</si>
  <si>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</si>
  <si>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</si>
  <si>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</si>
  <si>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</si>
  <si>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</si>
  <si>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</si>
  <si>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</si>
  <si>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</si>
  <si>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</si>
  <si>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</si>
  <si>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</si>
  <si>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</si>
  <si>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</si>
  <si>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</si>
  <si>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</si>
  <si>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</si>
  <si>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</si>
  <si>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</si>
  <si>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</si>
  <si>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</si>
  <si>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</si>
  <si>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</si>
  <si>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</si>
  <si>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</si>
  <si>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</si>
  <si>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</si>
  <si>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</si>
  <si>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</si>
  <si>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</si>
  <si>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</si>
  <si>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</si>
  <si>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</si>
  <si>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</si>
  <si>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</si>
  <si>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</si>
  <si>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</si>
  <si>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</si>
  <si>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</si>
  <si>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</si>
  <si>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</si>
  <si>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</si>
  <si>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</si>
  <si>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</si>
  <si>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</si>
  <si>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</si>
  <si>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</si>
  <si>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</si>
  <si>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</si>
  <si>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</si>
  <si>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</si>
  <si>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</si>
  <si>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</si>
  <si>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</si>
  <si>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</si>
  <si>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</si>
  <si>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</si>
  <si>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</si>
  <si>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</si>
  <si>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</si>
  <si>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</si>
  <si>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</si>
  <si>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</si>
  <si>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</si>
  <si>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</si>
  <si>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</si>
  <si>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</si>
  <si>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</si>
  <si>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</si>
  <si>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</si>
  <si>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</si>
  <si>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</si>
  <si>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</si>
  <si>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</si>
  <si>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</si>
  <si>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</si>
  <si>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</si>
  <si>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</si>
  <si>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</si>
  <si>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</si>
  <si>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</si>
  <si>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</si>
  <si>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</si>
  <si>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</si>
  <si>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</si>
  <si>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</si>
  <si>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</si>
  <si>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</si>
  <si>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</si>
  <si>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</si>
  <si>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</si>
  <si>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</si>
  <si>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</si>
  <si>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</si>
  <si>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</si>
  <si>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</si>
  <si>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</si>
  <si>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</si>
  <si>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</si>
  <si>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</si>
  <si>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</si>
  <si>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</si>
  <si>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</si>
  <si>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</si>
  <si>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</si>
  <si>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</si>
  <si>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</si>
  <si>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</si>
  <si>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</si>
  <si>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</si>
  <si>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</si>
  <si>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</si>
  <si>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</si>
  <si>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</si>
  <si>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</si>
  <si>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</si>
  <si>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</si>
  <si>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</si>
  <si>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</si>
  <si>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</si>
  <si>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</si>
  <si>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</si>
  <si>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</si>
  <si>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</si>
  <si>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</si>
  <si>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</si>
  <si>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</si>
  <si>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</si>
  <si>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</si>
  <si>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</si>
  <si>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</si>
  <si>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</si>
  <si>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</si>
  <si>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</si>
  <si>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</si>
  <si>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</si>
  <si>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</si>
  <si>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</si>
  <si>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</si>
  <si>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</si>
  <si>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</si>
  <si>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</si>
  <si>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</si>
  <si>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</si>
  <si>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</si>
  <si>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</si>
  <si>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</si>
  <si>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</si>
  <si>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</si>
  <si>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</si>
  <si>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</si>
  <si>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</si>
  <si>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</si>
  <si>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</si>
  <si>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</si>
  <si>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</si>
  <si>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</si>
  <si>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</si>
  <si>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</si>
  <si>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</si>
  <si>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</si>
  <si>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</si>
  <si>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</si>
  <si>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</si>
  <si>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</si>
  <si>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</si>
  <si>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</si>
  <si>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</si>
  <si>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</si>
  <si>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</si>
  <si>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</si>
  <si>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</si>
  <si>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</si>
  <si>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REGION DE MURCIA</t>
  </si>
  <si>
    <t>Provincias</t>
  </si>
  <si>
    <t>MURCIA</t>
  </si>
  <si>
    <t>Resumenes por Partidos Judiciales</t>
  </si>
  <si>
    <t>YECLA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</si>
</sst>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B39LjCo6dLfyd4a9gCXPVrUuoSHlj3CkMTvKcZiSj44FD0AdKinfvE/FZ2gln/3+wzBSbGl1gRi0UAdTadltIg==" saltValue="sE9DWHVmHUkOoKXQAvG+8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REGION DE MURCIA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5</v>
      </c>
      <c r="D10" s="230">
        <f>IF(ISNUMBER(Datos!I10),Datos!I10," - ")</f>
        <v>5</v>
      </c>
      <c r="E10" s="231">
        <f>IF(ISNUMBER(Datos!J10),Datos!J10," - ")</f>
        <v>1</v>
      </c>
      <c r="F10" s="231">
        <f>IF(ISNUMBER(Datos!K10),Datos!K10," - ")</f>
        <v>1</v>
      </c>
      <c r="G10" s="1193" t="str">
        <f>IF(Datos!E10&lt;&gt;"",Datos!E10,Datos!D10)</f>
        <v>37</v>
      </c>
      <c r="H10" s="232">
        <f>IF(ISNUMBER(Datos!L10),Datos!L10," - ")</f>
        <v>5</v>
      </c>
      <c r="I10" s="1203" t="str">
        <f>IF(ISNUMBER(Datos!AS10/Datos!BM10),Datos!AS10/Datos!BM10," - ")</f>
        <v xml:space="preserve"> - </v>
      </c>
      <c r="J10" s="1204">
        <f>IF(ISNUMBER(Datos!BY10/Datos!CN10),Datos!BY10/Datos!CN10," - ")</f>
        <v>0</v>
      </c>
      <c r="K10" s="235">
        <f t="shared" ref="K10:K13" si="1">IF(ISNUMBER((E10-F10)/C10),(E10-F10)/C10," - ")</f>
        <v>0</v>
      </c>
      <c r="L10" s="1205">
        <f>IF(ISNUMBER(NºAsuntos!I10/NºAsuntos!G10),(NºAsuntos!I10/NºAsuntos!G10)*11," - ")</f>
        <v>55</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34.583333333333336</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5</v>
      </c>
      <c r="D14" s="1210">
        <f>SUBTOTAL(9,D9:D13)</f>
        <v>5</v>
      </c>
      <c r="E14" s="1211">
        <f>SUBTOTAL(9,E9:E13)</f>
        <v>1</v>
      </c>
      <c r="F14" s="1212">
        <f>SUBTOTAL(9,F9:F13)</f>
        <v>1</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550</v>
      </c>
      <c r="D17" s="230">
        <f>IF(ISNUMBER(IF(D_I="SI",Datos!I17,Datos!I17+Datos!AC17)),IF(D_I="SI",Datos!I17,Datos!I17+Datos!AC17)," - ")</f>
        <v>550</v>
      </c>
      <c r="E17" s="231">
        <f>IF(ISNUMBER(IF(D_I="SI",Datos!J17,Datos!J17+Datos!AD17)),IF(D_I="SI",Datos!J17,Datos!J17+Datos!AD17)," - ")</f>
        <v>372</v>
      </c>
      <c r="F17" s="231">
        <f>IF(ISNUMBER(IF(D_I="SI",Datos!K17,Datos!K17+Datos!AE17)),IF(D_I="SI",Datos!K17,Datos!K17+Datos!AE17)," - ")</f>
        <v>317</v>
      </c>
      <c r="G17" s="1193" t="str">
        <f>IF(Datos!E17&lt;&gt;"",Datos!E17,Datos!D17)</f>
        <v>04</v>
      </c>
      <c r="H17" s="232">
        <f>IF(ISNUMBER(IF(D_I="SI",Datos!L17,Datos!L17+Datos!AF17)),IF(D_I="SI",Datos!L17,Datos!L17+Datos!AF17)," - ")</f>
        <v>605</v>
      </c>
      <c r="I17" s="1203" t="str">
        <f>IF(ISNUMBER(Datos!AS17/Datos!BM17),Datos!AS17/Datos!BM17," - ")</f>
        <v xml:space="preserve"> - </v>
      </c>
      <c r="J17" s="1204">
        <f>IF(ISNUMBER(Datos!BY17/Datos!CN17),Datos!BY17/Datos!CN17," - ")</f>
        <v>0</v>
      </c>
      <c r="K17" s="235">
        <f t="shared" si="3"/>
        <v>0.1</v>
      </c>
      <c r="L17" s="1205">
        <f>IF(ISNUMBER(NºAsuntos!I17/NºAsuntos!G17),(NºAsuntos!I17/NºAsuntos!G17)*11," - ")</f>
        <v>20.993690851735014</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37</v>
      </c>
      <c r="D18" s="230">
        <f>IF(ISNUMBER(IF(D_I="SI",Datos!I18,Datos!I18+Datos!AC18)),IF(D_I="SI",Datos!I18,Datos!I18+Datos!AC18)," - ")</f>
        <v>37</v>
      </c>
      <c r="E18" s="231">
        <f>IF(ISNUMBER(IF(D_I="SI",Datos!J18,Datos!J18+Datos!AD18)),IF(D_I="SI",Datos!J18,Datos!J18+Datos!AD18)," - ")</f>
        <v>48</v>
      </c>
      <c r="F18" s="231">
        <f>IF(ISNUMBER(IF(D_I="SI",Datos!K18,Datos!K18+Datos!AE18)),IF(D_I="SI",Datos!K18,Datos!K18+Datos!AE18)," - ")</f>
        <v>49</v>
      </c>
      <c r="G18" s="1193" t="str">
        <f>IF(Datos!E18&lt;&gt;"",Datos!E18,Datos!D18)</f>
        <v>37</v>
      </c>
      <c r="H18" s="232">
        <f>IF(ISNUMBER(IF(D_I="SI",Datos!L18,Datos!L18+Datos!AF18)),IF(D_I="SI",Datos!L18,Datos!L18+Datos!AF18)," - ")</f>
        <v>36</v>
      </c>
      <c r="I18" s="1203" t="str">
        <f>IF(ISNUMBER(Datos!AS18/Datos!BM18),Datos!AS18/Datos!BM18," - ")</f>
        <v xml:space="preserve"> - </v>
      </c>
      <c r="J18" s="1204" t="str">
        <f>IF(ISNUMBER((Datos!BY18+Datos!BZ18)/Datos!CN18),(Datos!BY18+Datos!BZ18)/Datos!CN18," - ")</f>
        <v xml:space="preserve"> - </v>
      </c>
      <c r="K18" s="235">
        <f t="shared" si="3"/>
        <v>-2.7027027027027029E-2</v>
      </c>
      <c r="L18" s="1205">
        <f>IF(ISNUMBER(NºAsuntos!I18/NºAsuntos!G18),(NºAsuntos!I18/NºAsuntos!G18)*11," - ")</f>
        <v>8.0816326530612255</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587</v>
      </c>
      <c r="D20" s="1210">
        <f>SUBTOTAL(9,D16:D19)</f>
        <v>587</v>
      </c>
      <c r="E20" s="1211">
        <f>SUBTOTAL(9,E16:E19)</f>
        <v>420</v>
      </c>
      <c r="F20" s="1211">
        <f>SUBTOTAL(9,F16:F19)</f>
        <v>366</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592</v>
      </c>
      <c r="D21" s="1232">
        <f>SUBTOTAL(9,D9:D20)</f>
        <v>592</v>
      </c>
      <c r="E21" s="1233">
        <f>SUBTOTAL(9,E9:E20)</f>
        <v>421</v>
      </c>
      <c r="F21" s="1233">
        <f>SUBTOTAL(9,F9:F20)</f>
        <v>367</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VJX5zUAP6DJWRR8aBoRI3UvLNdtebyfxaspUFl6eWaeaj2hWk+J4YTLLcvORWbxuyUOcSgbr4zmMaT6Vu0hQdg==" saltValue="+MucvB3yF9P3cEqghXvSTQ=="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t9aFqTynDS6YYwVeHvi+tK7zP3zvORmNOEi8TC5sQn2BhDpEaZ0lHyG1LFlnbCiEmZ8Fotnlh3H3tpxfg7Fxrw==" saltValue="9kLutVPO8C3ktKWP9raB8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5</v>
      </c>
      <c r="J10" s="186">
        <v>1</v>
      </c>
      <c r="K10" s="186">
        <v>1</v>
      </c>
      <c r="L10" s="186">
        <v>5</v>
      </c>
      <c r="M10" s="186">
        <v>1</v>
      </c>
      <c r="N10" s="186">
        <v>0</v>
      </c>
      <c r="O10" s="186">
        <v>0</v>
      </c>
      <c r="P10" s="186">
        <v>0</v>
      </c>
      <c r="Q10" s="186">
        <v>0</v>
      </c>
      <c r="R10" s="186">
        <v>4</v>
      </c>
      <c r="S10" s="186">
        <v>17</v>
      </c>
      <c r="T10" s="186">
        <v>2</v>
      </c>
      <c r="U10" s="186">
        <v>2</v>
      </c>
      <c r="V10" s="186">
        <v>8</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17</v>
      </c>
      <c r="AZ10" s="131">
        <f t="shared" si="0"/>
        <v>2</v>
      </c>
      <c r="BA10" s="131">
        <f t="shared" si="0"/>
        <v>2</v>
      </c>
      <c r="BB10" s="131">
        <f t="shared" si="0"/>
        <v>8</v>
      </c>
      <c r="BC10" s="127">
        <f t="shared" si="0"/>
        <v>0</v>
      </c>
      <c r="BD10" s="128">
        <f>IF(ISNUMBER(BA10/AZ10),BA10/AZ10," - ")</f>
        <v>1</v>
      </c>
      <c r="BE10" s="129">
        <f>IF(ISNUMBER(BB10/BA10),BB10/BA10, " - ")</f>
        <v>4</v>
      </c>
      <c r="BF10" s="129">
        <f>IF(ISNUMBER(BC10/BA10),BC10/BA10, " - ")</f>
        <v>0</v>
      </c>
      <c r="BG10" s="201">
        <f>IF(ISNUMBER((AY10+AZ10)/BA10),(AY10+AZ10)/BA10," - ")</f>
        <v>9.5</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931</v>
      </c>
      <c r="J12" s="188">
        <v>139</v>
      </c>
      <c r="K12" s="188">
        <v>260</v>
      </c>
      <c r="L12" s="188">
        <v>811</v>
      </c>
      <c r="M12" s="188">
        <v>56</v>
      </c>
      <c r="N12" s="188">
        <v>128</v>
      </c>
      <c r="O12" s="186">
        <v>85</v>
      </c>
      <c r="P12" s="188">
        <v>22</v>
      </c>
      <c r="Q12" s="188">
        <v>10</v>
      </c>
      <c r="R12" s="188">
        <v>1569</v>
      </c>
      <c r="S12" s="188">
        <v>839</v>
      </c>
      <c r="T12" s="188">
        <v>302</v>
      </c>
      <c r="U12" s="188">
        <v>265</v>
      </c>
      <c r="V12" s="188">
        <v>856</v>
      </c>
      <c r="W12" s="188">
        <v>54</v>
      </c>
      <c r="X12" s="194">
        <v>77</v>
      </c>
      <c r="Y12" s="196">
        <v>10</v>
      </c>
      <c r="Z12" s="186">
        <v>13</v>
      </c>
      <c r="AA12" s="186">
        <v>4</v>
      </c>
      <c r="AB12" s="186">
        <v>19</v>
      </c>
      <c r="AC12" s="188">
        <v>0</v>
      </c>
      <c r="AD12" s="188">
        <v>0</v>
      </c>
      <c r="AE12" s="188">
        <v>0</v>
      </c>
      <c r="AF12" s="194">
        <v>0</v>
      </c>
      <c r="AG12" s="207">
        <v>39</v>
      </c>
      <c r="AH12" s="188">
        <v>19</v>
      </c>
      <c r="AI12" s="188">
        <v>32</v>
      </c>
      <c r="AJ12" s="208">
        <v>26</v>
      </c>
      <c r="AK12" s="187">
        <v>0</v>
      </c>
      <c r="AL12" s="188">
        <v>0</v>
      </c>
      <c r="AM12" s="188">
        <v>0</v>
      </c>
      <c r="AN12" s="194">
        <v>0</v>
      </c>
      <c r="AO12" s="264">
        <v>2</v>
      </c>
      <c r="AP12" s="160">
        <v>2</v>
      </c>
      <c r="AQ12" s="160">
        <v>2</v>
      </c>
      <c r="AR12" s="159">
        <v>2</v>
      </c>
      <c r="AS12" s="350" t="s">
        <v>874</v>
      </c>
      <c r="AT12" s="208"/>
      <c r="AU12" s="207"/>
      <c r="AV12" s="208"/>
      <c r="AW12" s="207"/>
      <c r="AX12" s="208"/>
      <c r="AY12" s="128">
        <f t="shared" si="1"/>
        <v>878</v>
      </c>
      <c r="AZ12" s="129">
        <f t="shared" si="1"/>
        <v>321</v>
      </c>
      <c r="BA12" s="129">
        <f t="shared" si="1"/>
        <v>297</v>
      </c>
      <c r="BB12" s="129">
        <f t="shared" si="1"/>
        <v>882</v>
      </c>
      <c r="BC12" s="127">
        <f>IF(ISNUMBER(X12),X12," - ")</f>
        <v>77</v>
      </c>
      <c r="BD12" s="128">
        <f t="shared" si="2"/>
        <v>0.92523364485981308</v>
      </c>
      <c r="BE12" s="129">
        <f t="shared" si="3"/>
        <v>2.9696969696969697</v>
      </c>
      <c r="BF12" s="129">
        <f t="shared" si="4"/>
        <v>0.25925925925925924</v>
      </c>
      <c r="BG12" s="201">
        <f t="shared" si="5"/>
        <v>4.0370370370370372</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936</v>
      </c>
      <c r="J14" s="189">
        <f t="shared" si="7"/>
        <v>140</v>
      </c>
      <c r="K14" s="189">
        <f t="shared" si="7"/>
        <v>261</v>
      </c>
      <c r="L14" s="189">
        <f t="shared" si="7"/>
        <v>816</v>
      </c>
      <c r="M14" s="189">
        <f t="shared" si="7"/>
        <v>57</v>
      </c>
      <c r="N14" s="189">
        <f t="shared" si="7"/>
        <v>128</v>
      </c>
      <c r="O14" s="189">
        <f t="shared" si="7"/>
        <v>85</v>
      </c>
      <c r="P14" s="189">
        <f t="shared" si="7"/>
        <v>22</v>
      </c>
      <c r="Q14" s="189">
        <f t="shared" si="7"/>
        <v>10</v>
      </c>
      <c r="R14" s="189">
        <f t="shared" si="7"/>
        <v>1573</v>
      </c>
      <c r="S14" s="189">
        <f t="shared" si="7"/>
        <v>856</v>
      </c>
      <c r="T14" s="189">
        <f t="shared" si="7"/>
        <v>304</v>
      </c>
      <c r="U14" s="189">
        <f t="shared" si="7"/>
        <v>267</v>
      </c>
      <c r="V14" s="189">
        <f t="shared" si="7"/>
        <v>864</v>
      </c>
      <c r="W14" s="189">
        <f t="shared" si="7"/>
        <v>54</v>
      </c>
      <c r="X14" s="189">
        <f t="shared" si="7"/>
        <v>77</v>
      </c>
      <c r="Y14" s="189">
        <f t="shared" si="7"/>
        <v>10</v>
      </c>
      <c r="Z14" s="189">
        <f t="shared" si="7"/>
        <v>13</v>
      </c>
      <c r="AA14" s="189">
        <f t="shared" si="7"/>
        <v>4</v>
      </c>
      <c r="AB14" s="189">
        <f t="shared" si="7"/>
        <v>19</v>
      </c>
      <c r="AC14" s="189">
        <f t="shared" si="7"/>
        <v>0</v>
      </c>
      <c r="AD14" s="189">
        <f t="shared" si="7"/>
        <v>0</v>
      </c>
      <c r="AE14" s="189">
        <f t="shared" si="7"/>
        <v>0</v>
      </c>
      <c r="AF14" s="189">
        <f>SUBTOTAL(9,AF9:AF13)</f>
        <v>0</v>
      </c>
      <c r="AG14" s="189">
        <f t="shared" ref="AG14:AT14" si="8">SUBTOTAL(9,AG8:AG13)</f>
        <v>39</v>
      </c>
      <c r="AH14" s="189">
        <f t="shared" si="8"/>
        <v>19</v>
      </c>
      <c r="AI14" s="189">
        <f t="shared" si="8"/>
        <v>32</v>
      </c>
      <c r="AJ14" s="189">
        <f t="shared" si="8"/>
        <v>26</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895</v>
      </c>
      <c r="AZ14" s="189">
        <f>SUBTOTAL(9,AZ8:AZ13)</f>
        <v>323</v>
      </c>
      <c r="BA14" s="189">
        <f>SUBTOTAL(9,BA8:BA13)</f>
        <v>299</v>
      </c>
      <c r="BB14" s="189">
        <f>SUBTOTAL(9,BB8:BB13)</f>
        <v>890</v>
      </c>
      <c r="BC14" s="189">
        <f>SUBTOTAL(9,BC8:BC13)</f>
        <v>77</v>
      </c>
      <c r="BD14" s="210">
        <f>IF(ISNUMBER(BA14/AZ14),BA14/AZ14," - ")</f>
        <v>0.92569659442724461</v>
      </c>
      <c r="BE14" s="211">
        <f>IF(ISNUMBER(BB14/BA14),BB14/BA14, " - ")</f>
        <v>2.9765886287625416</v>
      </c>
      <c r="BF14" s="211">
        <f>IF(ISNUMBER(BC14/BA14),BC14/BA14, " - ")</f>
        <v>0.25752508361204013</v>
      </c>
      <c r="BG14" s="212">
        <f>IF(ISNUMBER((AY14+AZ14)/BA14),(AY14+AZ14)/BA14," - ")</f>
        <v>4.0735785953177261</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550</v>
      </c>
      <c r="J17" s="188">
        <v>372</v>
      </c>
      <c r="K17" s="188">
        <v>317</v>
      </c>
      <c r="L17" s="188">
        <v>605</v>
      </c>
      <c r="M17" s="188">
        <v>53</v>
      </c>
      <c r="N17" s="188">
        <v>169</v>
      </c>
      <c r="O17" s="186">
        <v>0</v>
      </c>
      <c r="P17" s="188">
        <v>24</v>
      </c>
      <c r="Q17" s="188">
        <v>32</v>
      </c>
      <c r="R17" s="188">
        <v>51</v>
      </c>
      <c r="S17" s="188">
        <v>578</v>
      </c>
      <c r="T17" s="188">
        <v>316</v>
      </c>
      <c r="U17" s="188">
        <v>361</v>
      </c>
      <c r="V17" s="188">
        <v>533</v>
      </c>
      <c r="W17" s="188">
        <v>48</v>
      </c>
      <c r="X17" s="194">
        <v>230</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2</v>
      </c>
      <c r="AP17" s="160">
        <v>2</v>
      </c>
      <c r="AQ17" s="160">
        <v>2</v>
      </c>
      <c r="AR17" s="160">
        <v>2</v>
      </c>
      <c r="AS17" s="350" t="s">
        <v>545</v>
      </c>
      <c r="AT17" s="208"/>
      <c r="AU17" s="207"/>
      <c r="AV17" s="208"/>
      <c r="AW17" s="207"/>
      <c r="AX17" s="208"/>
      <c r="AY17" s="128">
        <f t="shared" si="10"/>
        <v>578</v>
      </c>
      <c r="AZ17" s="129">
        <f t="shared" si="10"/>
        <v>316</v>
      </c>
      <c r="BA17" s="129">
        <f t="shared" si="10"/>
        <v>361</v>
      </c>
      <c r="BB17" s="129">
        <f t="shared" si="10"/>
        <v>533</v>
      </c>
      <c r="BC17" s="127">
        <f>IF(ISNUMBER(W17),W17," - ")</f>
        <v>48</v>
      </c>
      <c r="BD17" s="128">
        <f t="shared" ref="BD17:BD19" si="12">IF(ISNUMBER(BA17/AZ17),BA17/AZ17," - ")</f>
        <v>1.1424050632911393</v>
      </c>
      <c r="BE17" s="129">
        <f t="shared" ref="BE17:BE19" si="13">IF(ISNUMBER(BB17/BA17),BB17/BA17, " - ")</f>
        <v>1.4764542936288088</v>
      </c>
      <c r="BF17" s="129">
        <f t="shared" ref="BF17:BF19" si="14">IF(ISNUMBER(BC17/BA17),BC17/BA17, " - ")</f>
        <v>0.1329639889196676</v>
      </c>
      <c r="BG17" s="201">
        <f t="shared" si="11"/>
        <v>2.4764542936288088</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37</v>
      </c>
      <c r="J18" s="188">
        <v>48</v>
      </c>
      <c r="K18" s="188">
        <v>49</v>
      </c>
      <c r="L18" s="188">
        <v>36</v>
      </c>
      <c r="M18" s="188">
        <v>8</v>
      </c>
      <c r="N18" s="188">
        <v>17</v>
      </c>
      <c r="O18" s="188">
        <v>0</v>
      </c>
      <c r="P18" s="188">
        <v>0</v>
      </c>
      <c r="Q18" s="188">
        <v>0</v>
      </c>
      <c r="R18" s="188">
        <v>0</v>
      </c>
      <c r="S18" s="188">
        <v>34</v>
      </c>
      <c r="T18" s="188">
        <v>26</v>
      </c>
      <c r="U18" s="188">
        <v>25</v>
      </c>
      <c r="V18" s="188">
        <v>35</v>
      </c>
      <c r="W18" s="188">
        <v>10</v>
      </c>
      <c r="X18" s="194">
        <v>9</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34</v>
      </c>
      <c r="AZ18" s="131">
        <f t="shared" si="15"/>
        <v>26</v>
      </c>
      <c r="BA18" s="131">
        <f t="shared" si="15"/>
        <v>25</v>
      </c>
      <c r="BB18" s="131">
        <f t="shared" si="15"/>
        <v>35</v>
      </c>
      <c r="BC18" s="127">
        <f>IF(ISNUMBER(W18),W18," - ")</f>
        <v>10</v>
      </c>
      <c r="BD18" s="128">
        <f>IF(ISNUMBER(BA18/AZ18),BA18/AZ18," - ")</f>
        <v>0.96153846153846156</v>
      </c>
      <c r="BE18" s="129">
        <f>IF(ISNUMBER(BB18/BA18),BB18/BA18, " - ")</f>
        <v>1.4</v>
      </c>
      <c r="BF18" s="129">
        <f>IF(ISNUMBER(BC18/BA18),BC18/BA18, " - ")</f>
        <v>0.4</v>
      </c>
      <c r="BG18" s="201">
        <f>IF(ISNUMBER((AY18+AZ18)/BA18),(AY18+AZ18)/BA18," - ")</f>
        <v>2.4</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587</v>
      </c>
      <c r="J20" s="189">
        <f t="shared" si="16"/>
        <v>420</v>
      </c>
      <c r="K20" s="189">
        <f t="shared" si="16"/>
        <v>366</v>
      </c>
      <c r="L20" s="189">
        <f t="shared" si="16"/>
        <v>641</v>
      </c>
      <c r="M20" s="189">
        <f t="shared" si="16"/>
        <v>61</v>
      </c>
      <c r="N20" s="189">
        <f t="shared" si="16"/>
        <v>186</v>
      </c>
      <c r="O20" s="189">
        <f t="shared" si="16"/>
        <v>0</v>
      </c>
      <c r="P20" s="189">
        <f t="shared" si="16"/>
        <v>24</v>
      </c>
      <c r="Q20" s="189">
        <f t="shared" si="16"/>
        <v>32</v>
      </c>
      <c r="R20" s="189">
        <f t="shared" si="16"/>
        <v>51</v>
      </c>
      <c r="S20" s="189">
        <f t="shared" si="16"/>
        <v>612</v>
      </c>
      <c r="T20" s="189">
        <f t="shared" si="16"/>
        <v>342</v>
      </c>
      <c r="U20" s="189">
        <f t="shared" si="16"/>
        <v>386</v>
      </c>
      <c r="V20" s="189">
        <f t="shared" si="16"/>
        <v>568</v>
      </c>
      <c r="W20" s="189">
        <f t="shared" si="16"/>
        <v>58</v>
      </c>
      <c r="X20" s="189">
        <f t="shared" si="16"/>
        <v>239</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612</v>
      </c>
      <c r="AZ20" s="189">
        <f>SUBTOTAL(9,AZ15:AZ19)</f>
        <v>342</v>
      </c>
      <c r="BA20" s="189">
        <f>SUBTOTAL(9,BA15:BA19)</f>
        <v>386</v>
      </c>
      <c r="BB20" s="189">
        <f>SUBTOTAL(9,BB15:BB19)</f>
        <v>568</v>
      </c>
      <c r="BC20" s="189">
        <f>SUBTOTAL(9,BC15:BC19)</f>
        <v>58</v>
      </c>
      <c r="BD20" s="210">
        <f>IF(ISNUMBER(BA20/AZ20),BA20/AZ20," - ")</f>
        <v>1.128654970760234</v>
      </c>
      <c r="BE20" s="211">
        <f>IF(ISNUMBER(BB20/BA20),BB20/BA20, " - ")</f>
        <v>1.471502590673575</v>
      </c>
      <c r="BF20" s="211">
        <f>IF(ISNUMBER(BC20/BA20),BC20/BA20, " - ")</f>
        <v>0.15025906735751296</v>
      </c>
      <c r="BG20" s="212">
        <f>IF(ISNUMBER((AY20+AZ20)/BA20),(AY20+AZ20)/BA20," - ")</f>
        <v>2.471502590673575</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1523</v>
      </c>
      <c r="J21" s="136">
        <f t="shared" si="19"/>
        <v>560</v>
      </c>
      <c r="K21" s="136">
        <f t="shared" si="19"/>
        <v>627</v>
      </c>
      <c r="L21" s="136">
        <f t="shared" si="19"/>
        <v>1457</v>
      </c>
      <c r="M21" s="136">
        <f t="shared" si="19"/>
        <v>118</v>
      </c>
      <c r="N21" s="136">
        <f t="shared" si="19"/>
        <v>314</v>
      </c>
      <c r="O21" s="136">
        <f t="shared" si="19"/>
        <v>85</v>
      </c>
      <c r="P21" s="136">
        <f t="shared" si="19"/>
        <v>46</v>
      </c>
      <c r="Q21" s="136">
        <f t="shared" si="19"/>
        <v>42</v>
      </c>
      <c r="R21" s="136">
        <f t="shared" si="19"/>
        <v>1624</v>
      </c>
      <c r="S21" s="136">
        <f t="shared" si="19"/>
        <v>1468</v>
      </c>
      <c r="T21" s="136">
        <f t="shared" si="19"/>
        <v>646</v>
      </c>
      <c r="U21" s="136">
        <f t="shared" si="19"/>
        <v>653</v>
      </c>
      <c r="V21" s="136">
        <f t="shared" si="19"/>
        <v>1432</v>
      </c>
      <c r="W21" s="136">
        <f t="shared" si="19"/>
        <v>112</v>
      </c>
      <c r="X21" s="136">
        <f t="shared" si="19"/>
        <v>316</v>
      </c>
      <c r="Y21" s="136">
        <f t="shared" si="19"/>
        <v>10</v>
      </c>
      <c r="Z21" s="136">
        <f t="shared" si="19"/>
        <v>13</v>
      </c>
      <c r="AA21" s="136">
        <f t="shared" si="19"/>
        <v>4</v>
      </c>
      <c r="AB21" s="136">
        <f t="shared" si="19"/>
        <v>19</v>
      </c>
      <c r="AC21" s="136">
        <f t="shared" si="19"/>
        <v>0</v>
      </c>
      <c r="AD21" s="136">
        <f t="shared" si="19"/>
        <v>0</v>
      </c>
      <c r="AE21" s="136">
        <f t="shared" si="19"/>
        <v>0</v>
      </c>
      <c r="AF21" s="136">
        <f t="shared" si="19"/>
        <v>0</v>
      </c>
      <c r="AG21" s="136">
        <f t="shared" si="19"/>
        <v>39</v>
      </c>
      <c r="AH21" s="136">
        <f t="shared" si="19"/>
        <v>19</v>
      </c>
      <c r="AI21" s="136">
        <f t="shared" si="19"/>
        <v>32</v>
      </c>
      <c r="AJ21" s="136">
        <f t="shared" si="19"/>
        <v>26</v>
      </c>
      <c r="AK21" s="136">
        <f t="shared" si="19"/>
        <v>0</v>
      </c>
      <c r="AL21" s="136">
        <f t="shared" si="19"/>
        <v>0</v>
      </c>
      <c r="AM21" s="136">
        <f t="shared" si="19"/>
        <v>0</v>
      </c>
      <c r="AN21" s="215">
        <f t="shared" si="19"/>
        <v>0</v>
      </c>
      <c r="AO21" s="216">
        <v>3</v>
      </c>
      <c r="AP21" s="216">
        <v>2</v>
      </c>
      <c r="AQ21" s="216">
        <v>2</v>
      </c>
      <c r="AR21" s="216">
        <v>2</v>
      </c>
      <c r="AS21" s="158">
        <f t="shared" si="19"/>
        <v>0</v>
      </c>
      <c r="AT21" s="158">
        <f t="shared" si="19"/>
        <v>0</v>
      </c>
      <c r="AU21" s="216"/>
      <c r="AV21" s="217"/>
      <c r="AW21" s="216"/>
      <c r="AX21" s="217"/>
      <c r="AY21" s="135">
        <f>SUBTOTAL(9,AY9:AY20)</f>
        <v>1507</v>
      </c>
      <c r="AZ21" s="136">
        <f>SUBTOTAL(9,AZ9:AZ20)</f>
        <v>665</v>
      </c>
      <c r="BA21" s="136">
        <f>SUBTOTAL(9,BA9:BA20)</f>
        <v>685</v>
      </c>
      <c r="BB21" s="136">
        <f>SUBTOTAL(9,BB9:BB20)</f>
        <v>1458</v>
      </c>
      <c r="BC21" s="137">
        <f>SUBTOTAL(9,BC9:BC20)</f>
        <v>135</v>
      </c>
      <c r="BD21" s="218">
        <f>IF(ISNUMBER(BA21/AZ21),BA21/AZ21," - ")</f>
        <v>1.0300751879699248</v>
      </c>
      <c r="BE21" s="215">
        <f>IF(ISNUMBER(BB21/BA21),BB21/BA21, " - ")</f>
        <v>2.1284671532846717</v>
      </c>
      <c r="BF21" s="215">
        <f>IF(ISNUMBER(BC21/BA21),BC21/BA21, " - ")</f>
        <v>0.19708029197080293</v>
      </c>
      <c r="BG21" s="137">
        <f>IF(ISNUMBER((AY21+AZ21)/BA21),(AY21+AZ21)/BA21," - ")</f>
        <v>3.1708029197080294</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gVq360Liv6KKZ0FQqwKO2iC4JvaAXazXeejhCeascx8jnRxO9BYzA4AzSoQE7CGnJOjRmn4zlbE3VTGNWj4qKA==" saltValue="FXGyoQ9wgYGLOG1wI0B4M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N21/3SuhswQiCSL70IeB1JfVYZDLL0IDSpj828BzNGTDjVGN0WrdVEjjYQwRnCGUN1+gDE6D8YquX9Jc73DdkQ==" saltValue="LhnAZx+LyYfvCXHnpX0SF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REGION DE MURCIA</v>
      </c>
      <c r="F1" s="532"/>
    </row>
    <row r="2" spans="1:74" ht="16.5" customHeight="1">
      <c r="C2" s="521" t="str">
        <f>Criterios!A10 &amp;"  "&amp;Criterios!B10 &amp; "  " &amp; IF(NOT(ISBLANK(Criterios!A11)),Criterios!A11 &amp;"  "&amp;Criterios!B11,"")</f>
        <v>Provincias  MURCIA  Resumenes por Partidos Judiciales  YECLA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5</v>
      </c>
      <c r="G10" s="498">
        <f>IF(ISNUMBER(Datos!I10),Datos!I10," - ")</f>
        <v>5</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1</v>
      </c>
      <c r="AC10" s="502">
        <f>IF(ISNUMBER(Datos!Q10),Datos!Q10," - ")</f>
        <v>0</v>
      </c>
      <c r="AD10" s="504"/>
      <c r="AE10" s="517"/>
      <c r="AF10" s="506">
        <f>IF(ISNUMBER(Datos!L10),Datos!L10,"-")</f>
        <v>5</v>
      </c>
      <c r="AG10" s="504"/>
      <c r="AH10" s="504"/>
      <c r="AI10" s="504"/>
      <c r="AJ10" s="504"/>
      <c r="AK10" s="504"/>
      <c r="AL10" s="505"/>
      <c r="AM10" s="672">
        <f>IF(ISNUMBER(Datos!R10),Datos!R10," - ")</f>
        <v>4</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1</v>
      </c>
      <c r="BD10" s="620">
        <f>IF(ISNUMBER(Datos!N10),Datos!N10," - ")</f>
        <v>0</v>
      </c>
      <c r="BE10" s="620" t="str">
        <f>IF(ISNUMBER(Datos!BW10),Datos!BW10," - ")</f>
        <v xml:space="preserve"> - </v>
      </c>
      <c r="BF10" s="668" t="str">
        <f>IF(ISNUMBER(Datos!BX10),Datos!BX10," - ")</f>
        <v xml:space="preserve"> - </v>
      </c>
      <c r="BG10" s="669">
        <f>IF(ISNUMBER(Datos!K10/Datos!J10),Datos!K10/Datos!J10," - ")</f>
        <v>1</v>
      </c>
      <c r="BH10" s="670">
        <f>IF(ISNUMBER(((Datos!L10/Datos!K10)*11)/factor_trimestre),((Datos!L10/Datos!K10)*11)/factor_trimestre," - ")</f>
        <v>15</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13</v>
      </c>
      <c r="O12" s="504"/>
      <c r="P12" s="504"/>
      <c r="Q12" s="502">
        <f>IF(ISNUMBER(Datos!P12),Datos!P12,0)</f>
        <v>22</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10</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19</v>
      </c>
      <c r="AI12" s="504" t="str">
        <f>IF(ISNUMBER(Datos!CD12),Datos!CD12,"-")</f>
        <v>-</v>
      </c>
      <c r="AJ12" s="504" t="str">
        <f>IF(ISNUMBER(Datos!EN12),Datos!EN12," - ")</f>
        <v xml:space="preserve"> - </v>
      </c>
      <c r="AK12" s="504"/>
      <c r="AL12" s="505"/>
      <c r="AM12" s="672">
        <f>IF(ISNUMBER(Datos!R12),Datos!R12," - ")</f>
        <v>1569</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56</v>
      </c>
      <c r="BD12" s="620">
        <f>IF(ISNUMBER(Datos!N12),Datos!N12," - ")</f>
        <v>128</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1.736842105263158</v>
      </c>
      <c r="BH12" s="670">
        <f>IF(ISNUMBER(((IF(J_V="SI",Datos!L12/Datos!K12,(Datos!L12+Datos!AB12)/(Datos!K12+Datos!AA12)))*11)/factor_trimestre),((IF(J_V="SI",Datos!L12/Datos!K12,(Datos!L12+Datos!AB12)/(Datos!K12+Datos!AA12)))*11)/factor_trimestre," - ")</f>
        <v>9.4318181818181834</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7.7071290944123313E-3</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5</v>
      </c>
      <c r="G14" s="1045">
        <f t="shared" si="1"/>
        <v>5</v>
      </c>
      <c r="H14" s="1046">
        <f t="shared" si="1"/>
        <v>0</v>
      </c>
      <c r="I14" s="1045">
        <f t="shared" si="1"/>
        <v>0</v>
      </c>
      <c r="J14" s="1014">
        <f t="shared" si="1"/>
        <v>0</v>
      </c>
      <c r="K14" s="1014">
        <f t="shared" si="1"/>
        <v>0</v>
      </c>
      <c r="L14" s="1046">
        <f t="shared" si="1"/>
        <v>0</v>
      </c>
      <c r="M14" s="1046">
        <f t="shared" si="1"/>
        <v>0</v>
      </c>
      <c r="N14" s="1046">
        <f t="shared" si="1"/>
        <v>13</v>
      </c>
      <c r="O14" s="1047">
        <f t="shared" si="1"/>
        <v>0</v>
      </c>
      <c r="P14" s="1047">
        <f t="shared" si="1"/>
        <v>0</v>
      </c>
      <c r="Q14" s="1046">
        <f t="shared" si="1"/>
        <v>22</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1</v>
      </c>
      <c r="AC14" s="1046">
        <f t="shared" si="2"/>
        <v>10</v>
      </c>
      <c r="AD14" s="1046">
        <f t="shared" si="2"/>
        <v>0</v>
      </c>
      <c r="AE14" s="1046">
        <f t="shared" si="2"/>
        <v>0</v>
      </c>
      <c r="AF14" s="1046">
        <f t="shared" si="2"/>
        <v>5</v>
      </c>
      <c r="AG14" s="1046">
        <f t="shared" si="2"/>
        <v>0</v>
      </c>
      <c r="AH14" s="1046">
        <f t="shared" si="2"/>
        <v>19</v>
      </c>
      <c r="AI14" s="1046">
        <f t="shared" si="2"/>
        <v>0</v>
      </c>
      <c r="AJ14" s="1046">
        <f t="shared" si="2"/>
        <v>0</v>
      </c>
      <c r="AK14" s="1046">
        <f t="shared" si="2"/>
        <v>0</v>
      </c>
      <c r="AL14" s="1046">
        <f t="shared" si="2"/>
        <v>0</v>
      </c>
      <c r="AM14" s="1046">
        <f t="shared" si="2"/>
        <v>1573</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57</v>
      </c>
      <c r="BD14" s="1046">
        <f t="shared" si="2"/>
        <v>128</v>
      </c>
      <c r="BE14" s="1046">
        <f t="shared" si="2"/>
        <v>0</v>
      </c>
      <c r="BF14" s="1046">
        <f t="shared" si="2"/>
        <v>0</v>
      </c>
      <c r="BG14" s="1046">
        <f>IF(ISNUMBER(Datos!K14/Datos!J14),Datos!K14/Datos!J14," - ")</f>
        <v>1.8642857142857143</v>
      </c>
      <c r="BH14" s="1050">
        <f>IF(ISNUMBER(((Datos!L14/Datos!K14)*11)/factor_trimestre),((Datos!L14/Datos!K14)*11)/factor_trimestre," - ")</f>
        <v>9.3793103448275854</v>
      </c>
      <c r="BI14" s="1046">
        <f>IF(ISNUMBER('Resol  Asuntos'!D14/NºAsuntos!G14),'Resol  Asuntos'!D14/NºAsuntos!G14," - ")</f>
        <v>0.21509433962264152</v>
      </c>
      <c r="BJ14" s="1046" t="str">
        <f>IF(ISNUMBER(Datos!CI14/Datos!CJ14),Datos!CI14/Datos!CJ14," - ")</f>
        <v xml:space="preserve"> - </v>
      </c>
      <c r="BK14" s="1046">
        <f>SUBTOTAL(9,BK8:BK13)</f>
        <v>0</v>
      </c>
      <c r="BL14" s="1046">
        <f>IF(ISNUMBER((I14-AB14+L14)/(F14)),(I14-AB14+L14)/(F14)," - ")</f>
        <v>-0.2</v>
      </c>
      <c r="BM14" s="1051">
        <f>SUBTOTAL(9,BM9:BM13)</f>
        <v>7.7071290944123313E-3</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550</v>
      </c>
      <c r="G17" s="651">
        <f>IF(ISNUMBER(IF(D_I="SI",Datos!I17,Datos!I17+Datos!AC17)),IF(D_I="SI",Datos!I17,Datos!I17+Datos!AC17)," - ")</f>
        <v>550</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24</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317</v>
      </c>
      <c r="AC17" s="231">
        <f>IF(ISNUMBER(Datos!Q17),Datos!Q17," - ")</f>
        <v>32</v>
      </c>
      <c r="AD17" s="344"/>
      <c r="AE17" s="516"/>
      <c r="AF17" s="649">
        <f>IF(ISNUMBER(IF(D_I="SI",Datos!L17,Datos!L17+Datos!AF17)),IF(D_I="SI",Datos!L17,Datos!L17+Datos!AF17)," - ")</f>
        <v>605</v>
      </c>
      <c r="AG17" s="344"/>
      <c r="AH17" s="344"/>
      <c r="AI17" s="344"/>
      <c r="AJ17" s="504"/>
      <c r="AK17" s="344"/>
      <c r="AL17" s="500"/>
      <c r="AM17" s="345">
        <f>IF(ISNUMBER(Datos!R17),Datos!R17," - ")</f>
        <v>51</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53</v>
      </c>
      <c r="BD17" s="234">
        <f>IF(ISNUMBER(Datos!N17),Datos!N17," - ")</f>
        <v>169</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0.85215053763440862</v>
      </c>
      <c r="BH17" s="670">
        <f>IF(ISNUMBER(((IF(D_I="SI",Datos!L17/Datos!K17,(Datos!L17+Datos!AF17)/(Datos!K17+Datos!AE17)))*11)/factor_trimestre),((IF(D_I="SI",Datos!L17/Datos!K17,(Datos!L17+Datos!AF17)/(Datos!K17+Datos!AE17)))*11)/factor_trimestre," - ")</f>
        <v>5.725552050473186</v>
      </c>
      <c r="BI17" s="248">
        <f>IF(ISNUMBER('Resol  Asuntos'!D17/NºAsuntos!G17),'Resol  Asuntos'!D17/NºAsuntos!G17," - ")</f>
        <v>0.16719242902208201</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37</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49</v>
      </c>
      <c r="AC18" s="502">
        <f>IF(ISNUMBER(Datos!Q18),Datos!Q18," - ")</f>
        <v>0</v>
      </c>
      <c r="AD18" s="504"/>
      <c r="AE18" s="516"/>
      <c r="AF18" s="506">
        <f>IF(ISNUMBER(Datos!L18),Datos!L18,"-")</f>
        <v>36</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8</v>
      </c>
      <c r="BD18" s="620">
        <f>IF(ISNUMBER(Datos!N18),Datos!N18," - ")</f>
        <v>17</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1.0208333333333333</v>
      </c>
      <c r="BH18" s="670">
        <f>IF(ISNUMBER(((IF(D_I="SI",Datos!L18/Datos!K18,(Datos!L18+Datos!AF18)/(Datos!K18+Datos!AE18)))*11)/factor_trimestre),((IF(D_I="SI",Datos!L18/Datos!K18,(Datos!L18+Datos!AF18)/(Datos!K18+Datos!AE18)))*11)/factor_trimestre," - ")</f>
        <v>2.2040816326530615</v>
      </c>
      <c r="BI18" s="669">
        <f>IF(ISNUMBER('Resol  Asuntos'!D18/NºAsuntos!G18),'Resol  Asuntos'!D18/NºAsuntos!G18," - ")</f>
        <v>0.16326530612244897</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550</v>
      </c>
      <c r="G20" s="1045">
        <f>SUBTOTAL(9,G16:G19)</f>
        <v>587</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24</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366</v>
      </c>
      <c r="AC20" s="1046">
        <f t="shared" si="5"/>
        <v>32</v>
      </c>
      <c r="AD20" s="1046">
        <f t="shared" si="5"/>
        <v>0</v>
      </c>
      <c r="AE20" s="1046">
        <f t="shared" si="5"/>
        <v>0</v>
      </c>
      <c r="AF20" s="1046">
        <f t="shared" si="5"/>
        <v>641</v>
      </c>
      <c r="AG20" s="1046">
        <f t="shared" si="5"/>
        <v>0</v>
      </c>
      <c r="AH20" s="1046">
        <f t="shared" si="5"/>
        <v>0</v>
      </c>
      <c r="AI20" s="1046">
        <f t="shared" si="5"/>
        <v>0</v>
      </c>
      <c r="AJ20" s="1046">
        <f t="shared" si="5"/>
        <v>0</v>
      </c>
      <c r="AK20" s="1046">
        <f t="shared" si="5"/>
        <v>0</v>
      </c>
      <c r="AL20" s="1046">
        <f t="shared" si="5"/>
        <v>0</v>
      </c>
      <c r="AM20" s="1046">
        <f t="shared" si="5"/>
        <v>51</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61</v>
      </c>
      <c r="BD20" s="1046">
        <f t="shared" si="5"/>
        <v>186</v>
      </c>
      <c r="BE20" s="1046">
        <f t="shared" si="5"/>
        <v>0</v>
      </c>
      <c r="BF20" s="1046">
        <f t="shared" si="5"/>
        <v>0</v>
      </c>
      <c r="BG20" s="1046">
        <f>IF(ISNUMBER(Datos!K20/Datos!J20),Datos!K20/Datos!J20," - ")</f>
        <v>0.87142857142857144</v>
      </c>
      <c r="BH20" s="1050">
        <f>IF(ISNUMBER(((Datos!L20/Datos!K20)*11)/factor_trimestre),((Datos!L20/Datos!K20)*11)/factor_trimestre," - ")</f>
        <v>5.2540983606557381</v>
      </c>
      <c r="BI20" s="1046">
        <f>SUBTOTAL(9,BI16:BI19)</f>
        <v>0.33045773514453097</v>
      </c>
      <c r="BJ20" s="1046">
        <f>SUBTOTAL(9,BJ16:BJ19)</f>
        <v>0</v>
      </c>
      <c r="BK20" s="1046">
        <f>SUBTOTAL(9,BK16:BK19)</f>
        <v>0</v>
      </c>
      <c r="BL20" s="1046">
        <f>IF(ISNUMBER((I20-AB20+L20)/(F20)),(I20-AB20+L20)/(F20)," - ")</f>
        <v>-0.66545454545454541</v>
      </c>
      <c r="BM20" s="1052">
        <f>IF(ISNUMBER((Datos!P20-Datos!Q20)/(Datos!R20-Datos!P20+Datos!Q20)),(Datos!P20-Datos!Q20)/(Datos!R20-Datos!P20+Datos!Q20)," - ")</f>
        <v>-0.13559322033898305</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555</v>
      </c>
      <c r="G21" s="967">
        <f t="shared" si="7"/>
        <v>592</v>
      </c>
      <c r="H21" s="969">
        <f t="shared" si="7"/>
        <v>0</v>
      </c>
      <c r="I21" s="967">
        <f t="shared" si="7"/>
        <v>0</v>
      </c>
      <c r="J21" s="969">
        <f t="shared" si="7"/>
        <v>0</v>
      </c>
      <c r="K21" s="969">
        <f t="shared" si="7"/>
        <v>0</v>
      </c>
      <c r="L21" s="1028">
        <f t="shared" si="7"/>
        <v>0</v>
      </c>
      <c r="M21" s="1028">
        <f t="shared" si="7"/>
        <v>0</v>
      </c>
      <c r="N21" s="1028">
        <f t="shared" si="7"/>
        <v>13</v>
      </c>
      <c r="O21" s="1028">
        <f t="shared" si="7"/>
        <v>0</v>
      </c>
      <c r="P21" s="1028">
        <f t="shared" si="7"/>
        <v>0</v>
      </c>
      <c r="Q21" s="969">
        <f t="shared" si="7"/>
        <v>46</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367</v>
      </c>
      <c r="AC21" s="968">
        <f t="shared" si="8"/>
        <v>42</v>
      </c>
      <c r="AD21" s="968">
        <f t="shared" si="8"/>
        <v>0</v>
      </c>
      <c r="AE21" s="968">
        <f t="shared" si="8"/>
        <v>0</v>
      </c>
      <c r="AF21" s="975">
        <f t="shared" si="8"/>
        <v>646</v>
      </c>
      <c r="AG21" s="975">
        <f t="shared" si="8"/>
        <v>0</v>
      </c>
      <c r="AH21" s="975">
        <f t="shared" si="8"/>
        <v>19</v>
      </c>
      <c r="AI21" s="975">
        <f t="shared" si="8"/>
        <v>0</v>
      </c>
      <c r="AJ21" s="968">
        <f t="shared" si="8"/>
        <v>0</v>
      </c>
      <c r="AK21" s="975">
        <f t="shared" si="8"/>
        <v>0</v>
      </c>
      <c r="AL21" s="975">
        <f t="shared" si="8"/>
        <v>0</v>
      </c>
      <c r="AM21" s="975">
        <f t="shared" si="8"/>
        <v>1624</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118</v>
      </c>
      <c r="BD21" s="967">
        <f t="shared" si="8"/>
        <v>314</v>
      </c>
      <c r="BE21" s="967">
        <f t="shared" si="8"/>
        <v>0</v>
      </c>
      <c r="BF21" s="977">
        <f t="shared" si="8"/>
        <v>0</v>
      </c>
      <c r="BG21" s="1062">
        <f>IF(ISNUMBER(Datos!K21/Datos!J21),Datos!K21/Datos!J21," - ")</f>
        <v>1.1196428571428572</v>
      </c>
      <c r="BH21" s="1062">
        <f>IF(ISNUMBER(((Datos!L21/Datos!K21)*11)/factor_trimestre),((Datos!L21/Datos!K21)*11)/factor_trimestre," - ")</f>
        <v>6.9712918660287082</v>
      </c>
      <c r="BI21" s="960">
        <f>IF(ISNUMBER(Datos!J21/Datos!I21),Datos!J21/Datos!I21," - ")</f>
        <v>0.36769533814839134</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-0.66126126126126128</v>
      </c>
      <c r="BM21" s="1036">
        <f>IF(ISNUMBER((Datos!P21-Datos!Q21+R21)/(Datos!R21-Datos!P21+Datos!Q21-R21)),(Datos!P21-Datos!Q21+R21)/(Datos!R21-Datos!P21+Datos!Q21-R21)," - ")</f>
        <v>2.4691358024691358E-3</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236.8</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314.65589670834601</v>
      </c>
      <c r="G23" s="601">
        <f>IF(ISNUMBER(STDEV(G8:G20)),STDEV(G8:G20),"-")</f>
        <v>303.36314871783617</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179.65021569705948</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27.193136388924813</v>
      </c>
      <c r="BD23" s="600"/>
      <c r="BE23" s="600">
        <f>IF(ISNUMBER(STDEV(BE8:BE20)),STDEV(BE8:BE20),"-")</f>
        <v>0</v>
      </c>
      <c r="BF23" s="605">
        <f>IF(ISNUMBER(STDEV(BF8:BF20)),STDEV(BF8:BF20),"-")</f>
        <v>0</v>
      </c>
      <c r="BG23" s="915">
        <f>IF(ISNUMBER(STDEV(BG8:BG20)),STDEV(BG8:BG20),"-")</f>
        <v>0.45321159623268636</v>
      </c>
      <c r="BH23" s="919">
        <f>IF(ISNUMBER(STDEV(BH8:BH20)),STDEV(BH8:BH20),"-")</f>
        <v>4.4517406737139718</v>
      </c>
      <c r="BI23" s="254">
        <f>IF(ISNUMBER(STDEV(BI8:BI20)),STDEV(BI8:BI20),"-")</f>
        <v>7.7949687608374216E-2</v>
      </c>
      <c r="BJ23" s="235" t="str">
        <f>IF(ISNUMBER(BL23/BM23),BL23/BM23," - ")</f>
        <v xml:space="preserve"> - </v>
      </c>
      <c r="BK23" s="627"/>
      <c r="BL23" s="608">
        <f>IF(ISNUMBER(STDEV(BL8:BL20)),STDEV(BL8:BL20),"-")</f>
        <v>0.32912606542501111</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8ArRmChJg98qO7Fqo8tpFuqAJgLz3L+WjLtc+ssbvyRPSDH0L6tpGd3Qg88nZmT5L0PamWnSkdwzczryNn90zQ==" saltValue="/JotCdApRrf7E2WnsIbq2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REGION DE MURCIA</v>
      </c>
    </row>
    <row r="2" spans="1:73" ht="16.5" customHeight="1">
      <c r="C2" s="575" t="str">
        <f>Criterios!A10 &amp;"  "&amp;Criterios!B10 &amp; "  " &amp; IF(NOT(ISBLANK(Criterios!A11)),Criterios!A11 &amp;"  "&amp;Criterios!B11,"")</f>
        <v>Provincias  MURCIA  Resumenes por Partidos Judiciales  YECLA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5</v>
      </c>
      <c r="G10" s="507">
        <f>IF(ISNUMBER(Datos!I10),Datos!I10," - ")</f>
        <v>5</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1</v>
      </c>
      <c r="Z10" s="704">
        <f>IF(ISNUMBER(Datos!Q10),Datos!Q10," - ")</f>
        <v>0</v>
      </c>
      <c r="AA10" s="506">
        <f>IF(ISNUMBER(Datos!L10),Datos!L10,"-")</f>
        <v>5</v>
      </c>
      <c r="AB10" s="504"/>
      <c r="AC10" s="504"/>
      <c r="AD10" s="517"/>
      <c r="AE10" s="517">
        <f>IF(ISNUMBER(Datos!R10),Datos!R10," - ")</f>
        <v>4</v>
      </c>
      <c r="AF10" s="620" t="str">
        <f>IF(ISNUMBER(Datos!BV10),Datos!BV10," - ")</f>
        <v xml:space="preserve"> - </v>
      </c>
      <c r="AG10" s="507" t="str">
        <f>IF(ISNUMBER(Datos!DV10),Datos!DV10," - ")</f>
        <v xml:space="preserve"> - </v>
      </c>
      <c r="AH10" s="508"/>
      <c r="AI10" s="509"/>
      <c r="AJ10" s="507">
        <f>IF(ISNUMBER(Datos!M10),Datos!M10," - ")</f>
        <v>1</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15</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22</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10</v>
      </c>
      <c r="AA12" s="506" t="str">
        <f>IF(ISNUMBER(IF(J_V="SI",Datos!L12,Datos!L12+Datos!AB12)-IF(Monitorios="SI",Datos!CD12,0)),
                          IF(J_V="SI",Datos!L12,Datos!L12+Datos!AB12)-IF(Monitorios="SI",Datos!CD12,0),
                          " - ")</f>
        <v xml:space="preserve"> - </v>
      </c>
      <c r="AB12" s="504"/>
      <c r="AC12" s="504"/>
      <c r="AD12" s="517"/>
      <c r="AE12" s="517">
        <f>IF(ISNUMBER(Datos!R12),Datos!R12," - ")</f>
        <v>1569</v>
      </c>
      <c r="AF12" s="620" t="str">
        <f>IF(ISNUMBER(Datos!BV12),Datos!BV12," - ")</f>
        <v xml:space="preserve"> - </v>
      </c>
      <c r="AG12" s="507" t="str">
        <f>IF(ISNUMBER(Datos!DV12),Datos!DV12," - ")</f>
        <v xml:space="preserve"> - </v>
      </c>
      <c r="AH12" s="508"/>
      <c r="AI12" s="509"/>
      <c r="AJ12" s="507">
        <f>IF(ISNUMBER(Datos!M12),Datos!M12," - ")</f>
        <v>56</v>
      </c>
      <c r="AK12" s="620">
        <f>IF(ISNUMBER(Datos!N12),Datos!N12," - ")</f>
        <v>128</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9.4318181818181834</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7.7071290944123313E-3</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5</v>
      </c>
      <c r="G14" s="1045">
        <f>SUBTOTAL(9,G8:G13)</f>
        <v>5</v>
      </c>
      <c r="H14" s="1055"/>
      <c r="I14" s="1045">
        <f t="shared" ref="I14:N14" si="1">SUBTOTAL(9,I8:I13)</f>
        <v>0</v>
      </c>
      <c r="J14" s="1014">
        <f t="shared" si="1"/>
        <v>0</v>
      </c>
      <c r="K14" s="1055">
        <f t="shared" si="1"/>
        <v>0</v>
      </c>
      <c r="L14" s="1055">
        <f t="shared" si="1"/>
        <v>0</v>
      </c>
      <c r="M14" s="1055">
        <f t="shared" si="1"/>
        <v>0</v>
      </c>
      <c r="N14" s="1055">
        <f t="shared" si="1"/>
        <v>22</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1</v>
      </c>
      <c r="Z14" s="1054">
        <f t="shared" si="3"/>
        <v>10</v>
      </c>
      <c r="AA14" s="1047">
        <f t="shared" si="3"/>
        <v>5</v>
      </c>
      <c r="AB14" s="1047">
        <f t="shared" si="3"/>
        <v>0</v>
      </c>
      <c r="AC14" s="1047">
        <f t="shared" si="3"/>
        <v>0</v>
      </c>
      <c r="AD14" s="1047">
        <f t="shared" si="3"/>
        <v>0</v>
      </c>
      <c r="AE14" s="1047">
        <f t="shared" si="3"/>
        <v>1573</v>
      </c>
      <c r="AF14" s="1055">
        <f t="shared" si="3"/>
        <v>0</v>
      </c>
      <c r="AG14" s="1055">
        <f t="shared" si="3"/>
        <v>0</v>
      </c>
      <c r="AH14" s="1055">
        <f t="shared" si="3"/>
        <v>0</v>
      </c>
      <c r="AI14" s="1055">
        <f t="shared" si="3"/>
        <v>0</v>
      </c>
      <c r="AJ14" s="1055">
        <f t="shared" si="3"/>
        <v>57</v>
      </c>
      <c r="AK14" s="1055">
        <f t="shared" si="3"/>
        <v>128</v>
      </c>
      <c r="AL14" s="1055">
        <f t="shared" si="3"/>
        <v>0</v>
      </c>
      <c r="AM14" s="1055">
        <f t="shared" si="3"/>
        <v>0</v>
      </c>
      <c r="AN14" s="1055">
        <f t="shared" si="3"/>
        <v>0</v>
      </c>
      <c r="AO14" s="1051">
        <f>IF(ISNUMBER(((NºAsuntos!I14/NºAsuntos!G14)*11)/factor_trimestre),((NºAsuntos!I14/NºAsuntos!G14)*11)/factor_trimestre," - ")</f>
        <v>9.4528301886792452</v>
      </c>
      <c r="AP14" s="1057" t="str">
        <f>IF(ISNUMBER(Datos!CI14/Datos!CJ14),Datos!CI14/Datos!CJ14," - ")</f>
        <v xml:space="preserve"> - </v>
      </c>
      <c r="AQ14" s="1075">
        <f t="shared" ref="AQ14:AV14" si="4">SUBTOTAL(9,AQ9:AQ13)</f>
        <v>0</v>
      </c>
      <c r="AR14" s="1075">
        <f t="shared" si="4"/>
        <v>7.7071290944123313E-3</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550</v>
      </c>
      <c r="G17" s="507">
        <f>IF(ISNUMBER(IF(D_I="SI",Datos!I17,Datos!I17+Datos!AC17)),IF(D_I="SI",Datos!I17,Datos!I17+Datos!AC17)," - ")</f>
        <v>550</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24</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317</v>
      </c>
      <c r="Z17" s="704">
        <f>IF(ISNUMBER(Datos!Q17),Datos!Q17," - ")</f>
        <v>32</v>
      </c>
      <c r="AA17" s="506">
        <f>IF(ISNUMBER(IF(D_I="SI",Datos!L17,Datos!L17+Datos!AF17)),IF(D_I="SI",Datos!L17,Datos!L17+Datos!AF17)," - ")</f>
        <v>605</v>
      </c>
      <c r="AB17" s="504"/>
      <c r="AC17" s="504"/>
      <c r="AD17" s="517"/>
      <c r="AE17" s="517">
        <f>IF(ISNUMBER(Datos!R17),Datos!R17," - ")</f>
        <v>51</v>
      </c>
      <c r="AF17" s="620" t="str">
        <f>IF(ISNUMBER(Datos!BV17),Datos!BV17," - ")</f>
        <v xml:space="preserve"> - </v>
      </c>
      <c r="AG17" s="507"/>
      <c r="AH17" s="508"/>
      <c r="AI17" s="509"/>
      <c r="AJ17" s="507">
        <f>IF(ISNUMBER(Datos!M17),Datos!M17," - ")</f>
        <v>53</v>
      </c>
      <c r="AK17" s="620">
        <f>IF(ISNUMBER(Datos!N17),Datos!N17," - ")</f>
        <v>169</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5.725552050473186</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37</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49</v>
      </c>
      <c r="Z18" s="704">
        <f>IF(ISNUMBER(Datos!Q18),Datos!Q18," - ")</f>
        <v>0</v>
      </c>
      <c r="AA18" s="506">
        <f>IF(ISNUMBER(Datos!L18),Datos!L18,"-")</f>
        <v>36</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8</v>
      </c>
      <c r="AK18" s="620">
        <f>IF(ISNUMBER(Datos!N18),Datos!N18," - ")</f>
        <v>17</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2.2040816326530615</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550</v>
      </c>
      <c r="G20" s="1045">
        <f>SUBTOTAL(9,G16:G19)</f>
        <v>587</v>
      </c>
      <c r="H20" s="1079">
        <f>SUBTOTAL(9,H16:H19)</f>
        <v>0</v>
      </c>
      <c r="I20" s="1058">
        <f>SUBTOTAL(9,I16:I19)</f>
        <v>0</v>
      </c>
      <c r="J20" s="1014">
        <f>SUBTOTAL(9,J15:J19)</f>
        <v>0</v>
      </c>
      <c r="K20" s="1079">
        <f t="shared" ref="K20:S20" si="5">SUBTOTAL(9,K16:K19)</f>
        <v>0</v>
      </c>
      <c r="L20" s="1079">
        <f t="shared" si="5"/>
        <v>0</v>
      </c>
      <c r="M20" s="1079">
        <f t="shared" si="5"/>
        <v>0</v>
      </c>
      <c r="N20" s="1079">
        <f t="shared" si="5"/>
        <v>24</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366</v>
      </c>
      <c r="Z20" s="1079">
        <f t="shared" si="6"/>
        <v>32</v>
      </c>
      <c r="AA20" s="1079">
        <f t="shared" si="6"/>
        <v>641</v>
      </c>
      <c r="AB20" s="1079">
        <f t="shared" si="6"/>
        <v>0</v>
      </c>
      <c r="AC20" s="1079">
        <f t="shared" si="6"/>
        <v>0</v>
      </c>
      <c r="AD20" s="1079">
        <f t="shared" si="6"/>
        <v>0</v>
      </c>
      <c r="AE20" s="1079">
        <f t="shared" si="6"/>
        <v>51</v>
      </c>
      <c r="AF20" s="1079">
        <f t="shared" si="6"/>
        <v>0</v>
      </c>
      <c r="AG20" s="1079">
        <f t="shared" si="6"/>
        <v>0</v>
      </c>
      <c r="AH20" s="1079">
        <f t="shared" si="6"/>
        <v>0</v>
      </c>
      <c r="AI20" s="1079">
        <f t="shared" si="6"/>
        <v>0</v>
      </c>
      <c r="AJ20" s="1079">
        <f t="shared" si="6"/>
        <v>61</v>
      </c>
      <c r="AK20" s="1079">
        <f t="shared" si="6"/>
        <v>186</v>
      </c>
      <c r="AL20" s="1079">
        <f t="shared" si="6"/>
        <v>0</v>
      </c>
      <c r="AM20" s="1079">
        <f t="shared" si="6"/>
        <v>0</v>
      </c>
      <c r="AN20" s="1079">
        <f t="shared" si="6"/>
        <v>0</v>
      </c>
      <c r="AO20" s="1081">
        <f>IF(ISNUMBER(((NºAsuntos!I20/NºAsuntos!G20)*11)/factor_trimestre),((NºAsuntos!I20/NºAsuntos!G20)*11)/factor_trimestre," - ")</f>
        <v>5.2540983606557381</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555</v>
      </c>
      <c r="G21" s="967">
        <f t="shared" si="8"/>
        <v>592</v>
      </c>
      <c r="H21" s="968">
        <f t="shared" si="8"/>
        <v>0</v>
      </c>
      <c r="I21" s="967">
        <f t="shared" si="8"/>
        <v>0</v>
      </c>
      <c r="J21" s="969">
        <f t="shared" si="8"/>
        <v>0</v>
      </c>
      <c r="K21" s="967">
        <f t="shared" si="8"/>
        <v>0</v>
      </c>
      <c r="L21" s="970">
        <f t="shared" si="8"/>
        <v>0</v>
      </c>
      <c r="M21" s="967">
        <f t="shared" si="8"/>
        <v>0</v>
      </c>
      <c r="N21" s="968">
        <f t="shared" si="8"/>
        <v>46</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367</v>
      </c>
      <c r="Z21" s="974">
        <f t="shared" si="9"/>
        <v>42</v>
      </c>
      <c r="AA21" s="975">
        <f t="shared" si="9"/>
        <v>646</v>
      </c>
      <c r="AB21" s="975">
        <f t="shared" si="9"/>
        <v>0</v>
      </c>
      <c r="AC21" s="975">
        <f t="shared" si="9"/>
        <v>0</v>
      </c>
      <c r="AD21" s="976">
        <f t="shared" si="9"/>
        <v>0</v>
      </c>
      <c r="AE21" s="976">
        <f t="shared" si="9"/>
        <v>1624</v>
      </c>
      <c r="AF21" s="977">
        <f t="shared" si="9"/>
        <v>0</v>
      </c>
      <c r="AG21" s="978">
        <f t="shared" si="9"/>
        <v>0</v>
      </c>
      <c r="AH21" s="979">
        <f t="shared" si="9"/>
        <v>0</v>
      </c>
      <c r="AI21" s="977">
        <f t="shared" si="9"/>
        <v>0</v>
      </c>
      <c r="AJ21" s="967">
        <f t="shared" si="9"/>
        <v>118</v>
      </c>
      <c r="AK21" s="967">
        <f t="shared" si="9"/>
        <v>314</v>
      </c>
      <c r="AL21" s="967">
        <f t="shared" si="9"/>
        <v>0</v>
      </c>
      <c r="AM21" s="980">
        <f t="shared" si="9"/>
        <v>0</v>
      </c>
      <c r="AN21" s="970">
        <f>IF(ISNUMBER(Datos!K21/Datos!J21),Datos!K21/Datos!J21," - ")</f>
        <v>1.1196428571428572</v>
      </c>
      <c r="AO21" s="970">
        <f>IF(ISNUMBER(FIND("06",Criterios!A8,1)),(IF(ISNUMBER(((Datos!R21/Datos!Q21)*11)/factor_trimestre),((Datos!R21/Datos!Q21)*11)/factor_trimestre," - ")),(IF(ISNUMBER(((Datos!L21/Datos!K21)*11)/factor_trimestre),((Datos!L21/Datos!K21)*11)/factor_trimestre," - ")))</f>
        <v>6.9712918660287082</v>
      </c>
      <c r="AP21" s="981" t="str">
        <f>IF(ISNUMBER(Datos!CI21/Datos!CJ21),Datos!CI21/Datos!CJ21," - ")</f>
        <v xml:space="preserve"> - </v>
      </c>
      <c r="AQ21" s="981">
        <f>IF(OR(ISNUMBER(FIND("01",Criterios!A8,1)),ISNUMBER(FIND("02",Criterios!A8,1)),ISNUMBER(FIND("03",Criterios!A8,1)),ISNUMBER(FIND("04",Criterios!A8,1))),(J21-Y21+K21)/(F21-K21),(I21-Y21+K21)/(F21-K21))</f>
        <v>-0.66126126126126128</v>
      </c>
      <c r="AR21" s="981">
        <f>IF(ISNUMBER((Datos!P21-Datos!Q21+O21)/(Datos!R21-Datos!P21+Datos!Q21-O21)),(Datos!P21-Datos!Q21+O21)/(Datos!R21-Datos!P21+Datos!Q21-O21)," - ")</f>
        <v>2.4691358024691358E-3</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236.8</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314.65589670834601</v>
      </c>
      <c r="G23" s="601">
        <f>IF(ISNUMBER(STDEV(G8:G20)),STDEV(G8:G20),"-")</f>
        <v>303.36314871783617</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27.193136388924813</v>
      </c>
      <c r="AK23" s="257"/>
      <c r="AL23" s="257">
        <f>IF(ISNUMBER(STDEV(AL8:AL20)),STDEV(AL8:AL20),"-")</f>
        <v>0</v>
      </c>
      <c r="AM23" s="259">
        <f>IF(ISNUMBER(STDEV(AM8:AM20)),STDEV(AM8:AM20),"-")</f>
        <v>0</v>
      </c>
      <c r="AN23" s="587">
        <f>IF(ISNUMBER(STDEV(AN8:AN20)),STDEV(AN8:AN20),"-")</f>
        <v>0</v>
      </c>
      <c r="AO23" s="588">
        <f>IF(ISNUMBER(STDEV(AO8:AO20)),STDEV(AO8:AO20),"-")</f>
        <v>4.4569479548943134</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lDw5DY7PMTAOmD6R9CqtiJFaorbrb+329X02E58UuKGZOb9vb8XI1FSVto9T2uLPeNR/G9bhpgedUWbF+JIug==" saltValue="WEuJMKmDPUkJQ0Zaewybo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mkJciBHye79YlBaTpGOdo4/CgA2FsAwZWWYu3TxKoTgEPOWsvIdzAuaD3DALOfEmBfn5eArmxsD3BA3AjFw1lQ==" saltValue="1biiKNOu5kaGk7RKeXWc3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D8LetIRWXSmADN42azH0xfFgvRmCEsRzYjN1/xhgV1KyqFMab/sa3x8rJGdnO2z1lV12dZp2U7RIDuFFgmYSAQ==" saltValue="zW5O7Rl5grqG4BlNh5wI5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REGION DE MURCIA</v>
      </c>
      <c r="F1" s="753"/>
    </row>
    <row r="2" spans="1:75" ht="16.5" customHeight="1">
      <c r="C2" s="521" t="str">
        <f>Criterios!A10 &amp;"  "&amp;Criterios!B10 &amp; "  " &amp; IF(NOT(ISBLANK(Criterios!A11)),Criterios!A11 &amp;"  "&amp;Criterios!B11,"")</f>
        <v>Provincias  MURCIA  Resumenes por Partidos Judiciales  YECLA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0.21509433962264152</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0.15209466614201211</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m9XvNtin9cY9Q0wvYWMw6B8yfegVsnvqtp6rwndWAatM2v+9pTpL5YHmcAtDedNCgReVnq7u5/DUBCJRDrB+A==" saltValue="7ZIhB0WuhSIJXyhtDkldT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V5oV9Ljhuwk90KdVNnqe8sIAYWiQdDJo3baEZSBEeD7/30MsfuyIy4mFt4ZnBDGo9t+sRHc1Icc4n8Vuy7PUmA==" saltValue="ATGWnkr3KSP4w4OxFXt4B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REGION DE MURCIA</v>
      </c>
      <c r="C2" s="400"/>
      <c r="D2" s="400"/>
      <c r="E2" s="400"/>
      <c r="F2" s="400"/>
    </row>
    <row r="3" spans="1:14" ht="19.5">
      <c r="A3" s="402" t="s">
        <v>128</v>
      </c>
      <c r="B3" s="403" t="str">
        <f>Criterios!A10 &amp;"  "&amp;Criterios!B10</f>
        <v>Provincias  MURCIA</v>
      </c>
      <c r="D3" s="400"/>
      <c r="E3" s="400"/>
      <c r="F3" s="400"/>
    </row>
    <row r="4" spans="1:14" ht="13.5" thickBot="1">
      <c r="A4" s="400"/>
      <c r="B4" s="403" t="str">
        <f>Criterios!A11 &amp;"  "&amp;Criterios!B11</f>
        <v>Resumenes por Partidos Judiciales  YECLA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5</v>
      </c>
      <c r="D10" s="416">
        <f>IF(ISNUMBER(C10/Datos!BH10),C10/Datos!BH10," - ")</f>
        <v>5</v>
      </c>
      <c r="E10" s="415">
        <f>IF(ISNUMBER(Datos!J10),Datos!J10," - ")</f>
        <v>1</v>
      </c>
      <c r="F10" s="416">
        <f>IF(ISNUMBER(E10/B10),E10/B10," - ")</f>
        <v>1</v>
      </c>
      <c r="G10" s="415">
        <f>IF(ISNUMBER(Datos!K10),Datos!K10," - ")</f>
        <v>1</v>
      </c>
      <c r="H10" s="416">
        <f>IF(ISNUMBER(G10/B10),G10/B10," - ")</f>
        <v>1</v>
      </c>
      <c r="I10" s="415">
        <f>IF(ISNUMBER(Datos!L10),Datos!L10," - ")</f>
        <v>5</v>
      </c>
      <c r="J10" s="416">
        <f>IF(ISNUMBER(I10/B10),I10/B10," - ")</f>
        <v>5</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941</v>
      </c>
      <c r="D12" s="416">
        <f>IF(ISNUMBER(C12/Datos!BH12),C12/Datos!BH12," - ")</f>
        <v>470.5</v>
      </c>
      <c r="E12" s="415">
        <f>IF(ISNUMBER(IF(J_V="SI",Datos!J12,Datos!J12+Datos!Z12)),IF(J_V="SI",Datos!J12,Datos!J12+Datos!Z12)," - ")</f>
        <v>152</v>
      </c>
      <c r="F12" s="416">
        <f>IF(ISNUMBER(E12/B12),E12/B12," - ")</f>
        <v>76</v>
      </c>
      <c r="G12" s="415">
        <f>IF(ISNUMBER(IF(J_V="SI",Datos!K12,Datos!K12+Datos!AA12)),IF(J_V="SI",Datos!K12,Datos!K12+Datos!AA12)," - ")</f>
        <v>264</v>
      </c>
      <c r="H12" s="416">
        <f>IF(ISNUMBER(G12/B12),G12/B12," - ")</f>
        <v>132</v>
      </c>
      <c r="I12" s="415">
        <f>IF(ISNUMBER(IF(J_V="SI",Datos!L12,Datos!L12+Datos!AB12)),IF(J_V="SI",Datos!L12,Datos!L12+Datos!AB12)," - ")</f>
        <v>830</v>
      </c>
      <c r="J12" s="416">
        <f>IF(ISNUMBER(I12/B12),I12/B12," - ")</f>
        <v>415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946</v>
      </c>
      <c r="D14" s="997" t="str">
        <f>IF(ISNUMBER(C14/Datos!BI14),C14/Datos!BI14," - ")</f>
        <v xml:space="preserve"> - </v>
      </c>
      <c r="E14" s="996">
        <f>SUBTOTAL(9,E8:E13)</f>
        <v>153</v>
      </c>
      <c r="F14" s="997">
        <f>IF(ISNUMBER(E14/B14),E14/B14," - ")</f>
        <v>76.5</v>
      </c>
      <c r="G14" s="996">
        <f>SUBTOTAL(9,G8:G13)</f>
        <v>265</v>
      </c>
      <c r="H14" s="997">
        <f>IF(ISNUMBER(G14/B14),G14/B14," - ")</f>
        <v>132.5</v>
      </c>
      <c r="I14" s="996">
        <f>SUBTOTAL(9,I8:I13)</f>
        <v>835</v>
      </c>
      <c r="J14" s="997">
        <f>IF(ISNUMBER(I14/B14),I14/B14," - ")</f>
        <v>417.5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550</v>
      </c>
      <c r="D17" s="416">
        <f>IF(ISNUMBER(C17/Datos!BH17),C17/Datos!BH17," - ")</f>
        <v>275</v>
      </c>
      <c r="E17" s="415">
        <f>IF(ISNUMBER(IF(D_I="SI",Datos!J17,Datos!J17+Datos!AD17)),IF(D_I="SI",Datos!J17,Datos!J17+Datos!AD17)," - ")</f>
        <v>372</v>
      </c>
      <c r="F17" s="416">
        <f>IF(ISNUMBER(E17/B17),E17/B17," - ")</f>
        <v>186</v>
      </c>
      <c r="G17" s="415">
        <f>IF(ISNUMBER(IF(D_I="SI",Datos!K17,Datos!K17+Datos!AE17)),IF(D_I="SI",Datos!K17,Datos!K17+Datos!AE17)," - ")</f>
        <v>317</v>
      </c>
      <c r="H17" s="416">
        <f>IF(ISNUMBER(G17/B17),G17/B17," - ")</f>
        <v>158.5</v>
      </c>
      <c r="I17" s="415">
        <f>IF(ISNUMBER(IF(D_I="SI",Datos!L17,Datos!L17+Datos!AF17)),IF(D_I="SI",Datos!L17,Datos!L17+Datos!AF17)," - ")</f>
        <v>605</v>
      </c>
      <c r="J17" s="416">
        <f>IF(ISNUMBER(I17/B17),I17/B17," - ")</f>
        <v>302.5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37</v>
      </c>
      <c r="D18" s="416">
        <f>IF(ISNUMBER(C18/Datos!BH18),C18/Datos!BH18," - ")</f>
        <v>37</v>
      </c>
      <c r="E18" s="415">
        <f>IF(ISNUMBER(IF(D_I="SI",Datos!J18,Datos!J18+Datos!AD18)),IF(D_I="SI",Datos!J18,Datos!J18+Datos!AD18)," - ")</f>
        <v>48</v>
      </c>
      <c r="F18" s="416">
        <f>IF(ISNUMBER(E18/B18),E18/B18," - ")</f>
        <v>48</v>
      </c>
      <c r="G18" s="415">
        <f>IF(ISNUMBER(IF(D_I="SI",Datos!K18,Datos!K18+Datos!AE18)),IF(D_I="SI",Datos!K18,Datos!K18+Datos!AE18)," - ")</f>
        <v>49</v>
      </c>
      <c r="H18" s="416">
        <f>IF(ISNUMBER(G18/B18),G18/B18," - ")</f>
        <v>49</v>
      </c>
      <c r="I18" s="415">
        <f>IF(ISNUMBER(IF(D_I="SI",Datos!L18,Datos!L18+Datos!AF18)),IF(D_I="SI",Datos!L18,Datos!L18+Datos!AF18)," - ")</f>
        <v>36</v>
      </c>
      <c r="J18" s="416">
        <f>IF(ISNUMBER(I18/B18),I18/B18," - ")</f>
        <v>36</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587</v>
      </c>
      <c r="D20" s="997" t="str">
        <f>IF(ISNUMBER(C20/Datos!BI20),C20/Datos!BI20," - ")</f>
        <v xml:space="preserve"> - </v>
      </c>
      <c r="E20" s="996">
        <f>SUBTOTAL(9,E15:E19)</f>
        <v>420</v>
      </c>
      <c r="F20" s="997">
        <f>IF(ISNUMBER(E20/B20),E20/B20," - ")</f>
        <v>210</v>
      </c>
      <c r="G20" s="996">
        <f>SUBTOTAL(9,G15:G19)</f>
        <v>366</v>
      </c>
      <c r="H20" s="997">
        <f>IF(ISNUMBER(G20/B20),G20/B20," - ")</f>
        <v>183</v>
      </c>
      <c r="I20" s="996">
        <f>SUBTOTAL(9,I15:I19)</f>
        <v>641</v>
      </c>
      <c r="J20" s="997">
        <f>IF(ISNUMBER(I20/B20),I20/B20," - ")</f>
        <v>320.5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1533</v>
      </c>
      <c r="D21" s="942" t="str">
        <f>IF(ISNUMBER(C21/Datos!BI21),C21/Datos!BI21," - ")</f>
        <v xml:space="preserve"> - </v>
      </c>
      <c r="E21" s="941">
        <f>SUBTOTAL(9,E9:E20)</f>
        <v>573</v>
      </c>
      <c r="F21" s="942">
        <f>IF(ISNUMBER(E21/B21),E21/B21," - ")</f>
        <v>286.5</v>
      </c>
      <c r="G21" s="941">
        <f>SUBTOTAL(9,G9:G20)</f>
        <v>631</v>
      </c>
      <c r="H21" s="942">
        <f>IF(ISNUMBER(G21/B21),G21/B21," - ")</f>
        <v>315.5</v>
      </c>
      <c r="I21" s="941">
        <f>SUBTOTAL(9,I9:I20)</f>
        <v>1476</v>
      </c>
      <c r="J21" s="942">
        <f>IF(ISNUMBER(I21/B21),I21/B21," - ")</f>
        <v>738</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m+7NnfQIi+5Fxa1NkR38MwWdBWeABZgBO3AayM9yr1fX3PRdG69ooVjraItJVKazc5ZKcsqHIH6NMeIO4qt4bQ==" saltValue="KTmfNpxrpit2jLVKB2owF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REGION DE MURCIA</v>
      </c>
      <c r="F1" s="753"/>
      <c r="W1"/>
      <c r="X1"/>
      <c r="BE1" s="753"/>
    </row>
    <row r="2" spans="1:65" ht="16.5" customHeight="1">
      <c r="C2" s="521" t="str">
        <f>Criterios!A10 &amp;"  "&amp;Criterios!B10 &amp; "  " &amp; IF(NOT(ISBLANK(Criterios!A11)),Criterios!A11 &amp;"  "&amp;Criterios!B11,"")</f>
        <v>Provincias  MURCIA  Resumenes por Partidos Judiciales  YECLA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5</v>
      </c>
      <c r="G10" s="803">
        <f>IF(ISNUMBER(Datos!I10),Datos!I10," - ")</f>
        <v>5</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1</v>
      </c>
      <c r="AC10" s="802" t="str">
        <f>IF(ISNUMBER(IF(D_I="SI",DatosP!K18,DatosP!K18+DatosP!AE18)),IF(D_I="SI",DatosP!K18,DatosP!K18+DatosP!AE18)," - ")</f>
        <v xml:space="preserve"> - </v>
      </c>
      <c r="AD10" s="804"/>
      <c r="AE10" s="804"/>
      <c r="AF10" s="807">
        <f>IF(ISNUMBER(Datos!L10),Datos!L10,"-")</f>
        <v>5</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1</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15</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22</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10</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1569</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56</v>
      </c>
      <c r="AM12" s="811">
        <f>IF(ISNUMBER(Datos!N12+DatosP!N17),Datos!N12+DatosP!N17," - ")</f>
        <v>128</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9.4318181818181834</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7.7071290944123313E-3</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5</v>
      </c>
      <c r="G14" s="1085">
        <f t="shared" si="0"/>
        <v>5</v>
      </c>
      <c r="H14" s="1085">
        <f t="shared" si="0"/>
        <v>0</v>
      </c>
      <c r="I14" s="1087">
        <f t="shared" si="0"/>
        <v>0</v>
      </c>
      <c r="J14" s="1086">
        <f t="shared" si="0"/>
        <v>0</v>
      </c>
      <c r="K14" s="1086">
        <f t="shared" si="0"/>
        <v>0</v>
      </c>
      <c r="L14" s="1088">
        <f t="shared" si="0"/>
        <v>0</v>
      </c>
      <c r="M14" s="1088">
        <f t="shared" si="0"/>
        <v>0</v>
      </c>
      <c r="N14" s="1086">
        <f t="shared" si="0"/>
        <v>22</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1</v>
      </c>
      <c r="AC14" s="1086">
        <f t="shared" si="1"/>
        <v>0</v>
      </c>
      <c r="AD14" s="1086">
        <f t="shared" si="1"/>
        <v>10</v>
      </c>
      <c r="AE14" s="1086">
        <f t="shared" si="1"/>
        <v>0</v>
      </c>
      <c r="AF14" s="1086">
        <f t="shared" si="1"/>
        <v>5</v>
      </c>
      <c r="AG14" s="1086">
        <f t="shared" si="1"/>
        <v>0</v>
      </c>
      <c r="AH14" s="1086">
        <f t="shared" si="1"/>
        <v>1569</v>
      </c>
      <c r="AI14" s="1086">
        <f t="shared" si="1"/>
        <v>0</v>
      </c>
      <c r="AJ14" s="1086">
        <f t="shared" si="1"/>
        <v>0</v>
      </c>
      <c r="AK14" s="1086">
        <f t="shared" si="1"/>
        <v>0</v>
      </c>
      <c r="AL14" s="1086">
        <f t="shared" si="1"/>
        <v>57</v>
      </c>
      <c r="AM14" s="1086">
        <f t="shared" si="1"/>
        <v>128</v>
      </c>
      <c r="AN14" s="1086">
        <f t="shared" si="1"/>
        <v>0</v>
      </c>
      <c r="AO14" s="1086">
        <f t="shared" si="1"/>
        <v>0</v>
      </c>
      <c r="AP14" s="1091">
        <f>IF(ISNUMBER(((Datos!L14/Datos!K14)*11)/factor_trimestre),((Datos!L14/Datos!K14)*11)/factor_trimestre," - ")</f>
        <v>9.3793103448275854</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-0.2</v>
      </c>
      <c r="AU14" s="1086" t="str">
        <f>IF(ISNUMBER((DatosP!#REF!-DatosP!#REF!+DatosP!#REF!)/(DatosP!#REF!+DatosP!#REF!-DatosP!#REF!-DatosP!#REF!)),(DatosP!#REF!-DatosP!#REF!+DatosP!#REF!)/(DatosP!#REF!+DatosP!#REF!-DatosP!#REF!-DatosP!#REF!)," - ")</f>
        <v xml:space="preserve"> - </v>
      </c>
      <c r="AV14" s="1092">
        <f>SUBTOTAL(9,AV9:AV13)</f>
        <v>7.7071290944123313E-3</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5.2540983606557381</v>
      </c>
      <c r="AQ20" s="1091">
        <f>IF(ISNUMBER(((Datos!M20/Datos!L20)*11)/factor_trimestre),((Datos!M20/Datos!L20)*11)/factor_trimestre," - ")</f>
        <v>0.28549141965678626</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-0.13559322033898305</v>
      </c>
      <c r="AW20" s="1093">
        <f>IF(ISNUMBER((Datos!Q20-Datos!R20)/(Datos!S20-Datos!Q20+Datos!R20)),(Datos!Q20-Datos!R20)/(Datos!S20-Datos!Q20+Datos!R20)," - ")</f>
        <v>-3.0110935023771792E-2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5</v>
      </c>
      <c r="G21" s="1098">
        <f t="shared" si="4"/>
        <v>5</v>
      </c>
      <c r="H21" s="1098">
        <f t="shared" si="4"/>
        <v>0</v>
      </c>
      <c r="I21" s="1099">
        <f t="shared" si="4"/>
        <v>0</v>
      </c>
      <c r="J21" s="1100">
        <f t="shared" si="4"/>
        <v>0</v>
      </c>
      <c r="K21" s="1100">
        <f t="shared" si="4"/>
        <v>0</v>
      </c>
      <c r="L21" s="1100">
        <f t="shared" si="4"/>
        <v>0</v>
      </c>
      <c r="M21" s="1100">
        <f t="shared" si="4"/>
        <v>0</v>
      </c>
      <c r="N21" s="1099">
        <f t="shared" si="4"/>
        <v>22</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1</v>
      </c>
      <c r="AC21" s="1104">
        <f t="shared" si="5"/>
        <v>0</v>
      </c>
      <c r="AD21" s="1104">
        <f t="shared" si="5"/>
        <v>10</v>
      </c>
      <c r="AE21" s="1104">
        <f t="shared" si="5"/>
        <v>0</v>
      </c>
      <c r="AF21" s="1105">
        <f t="shared" si="5"/>
        <v>5</v>
      </c>
      <c r="AG21" s="1105">
        <f t="shared" si="5"/>
        <v>0</v>
      </c>
      <c r="AH21" s="1105">
        <f t="shared" si="5"/>
        <v>1569</v>
      </c>
      <c r="AI21" s="1105">
        <f t="shared" si="5"/>
        <v>0</v>
      </c>
      <c r="AJ21" s="1106">
        <f t="shared" si="5"/>
        <v>0</v>
      </c>
      <c r="AK21" s="1106">
        <f t="shared" si="5"/>
        <v>0</v>
      </c>
      <c r="AL21" s="1098">
        <f t="shared" si="5"/>
        <v>57</v>
      </c>
      <c r="AM21" s="1098">
        <f t="shared" si="5"/>
        <v>128</v>
      </c>
      <c r="AN21" s="1098">
        <f t="shared" si="5"/>
        <v>0</v>
      </c>
      <c r="AO21" s="1098">
        <f t="shared" si="5"/>
        <v>0</v>
      </c>
      <c r="AP21" s="1098">
        <f>IF(ISNUMBER(((Datos!L21/Datos!K21)*11)/factor_trimestre),((Datos!L21/Datos!K21)*11)/factor_trimestre," - ")</f>
        <v>6.9712918660287082</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-0.2</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2.4691358024691358E-3</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3.3333333333333335</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2.8867513459481287</v>
      </c>
      <c r="G23" s="871">
        <f>IF(ISNUMBER(STDEV(G8:G20)),STDEV(G8:G20),"-")</f>
        <v>2.8867513459481287</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0.57735026918962584</v>
      </c>
      <c r="AC23" s="872">
        <f>IF(ISNUMBER(STDEV(AC8:AC20)),STDEV(AC8:AC20),"-")</f>
        <v>0</v>
      </c>
      <c r="AD23" s="875"/>
      <c r="AE23" s="875"/>
      <c r="AF23" s="875"/>
      <c r="AG23" s="875"/>
      <c r="AH23" s="875"/>
      <c r="AI23" s="875"/>
      <c r="AJ23" s="876">
        <f>IF(ISNUMBER(STDEV(AJ8:AJ20)),STDEV(AJ8:AJ20),"-")</f>
        <v>0</v>
      </c>
      <c r="AK23" s="878"/>
      <c r="AL23" s="870">
        <f>IF(ISNUMBER(STDEV(AL8:AL20)),STDEV(AL8:AL20),"-")</f>
        <v>32.336769576855801</v>
      </c>
      <c r="AM23" s="870"/>
      <c r="AN23" s="870">
        <f>IF(ISNUMBER(STDEV(AN8:AN20)),STDEV(AN8:AN20),"-")</f>
        <v>0</v>
      </c>
      <c r="AO23" s="876">
        <f>IF(ISNUMBER(STDEV(AO8:AO20)),STDEV(AO8:AO20),"-")</f>
        <v>0</v>
      </c>
      <c r="AP23" s="923">
        <f>IF(ISNUMBER(STDEV(AP8:AP20)),STDEV(AP8:AP20),"-")</f>
        <v>4.0005507289132511</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D2n799+Are1S8hkZBglv6Hs3CllCsuMSFCFRYNdEU9X3F0Je64xCBBCbsH+xR3RBXdUeLNXM8r4+0rSMu91+Kw==" saltValue="eGyIghK/m8iFb/16922HT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REGION DE MURCIA</v>
      </c>
      <c r="C2" s="400"/>
      <c r="E2" s="400"/>
      <c r="F2" s="400"/>
      <c r="G2" s="400"/>
      <c r="H2" s="400"/>
    </row>
    <row r="3" spans="1:15" ht="39">
      <c r="A3" s="427" t="s">
        <v>241</v>
      </c>
      <c r="B3" s="403" t="str">
        <f>Criterios!A10 &amp;"  "&amp;Criterios!B10</f>
        <v>Provincias  MURCIA</v>
      </c>
      <c r="C3" s="427"/>
      <c r="F3" s="400"/>
      <c r="G3" s="400"/>
      <c r="H3" s="400"/>
    </row>
    <row r="4" spans="1:15" ht="13.5" thickBot="1">
      <c r="A4" s="400"/>
      <c r="B4" s="403" t="str">
        <f>Criterios!A11 &amp;"  "&amp;Criterios!B11</f>
        <v>Resumenes por Partidos Judiciales  YECLA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eRBGUlF34Vu9Gta5EyL/4SDLdv7kK02BtTlXonptGP2OoC2+DZKqaW2oPjV+hCUsgKGaD0cNmaaIJ0TsEPHYJQ==" saltValue="OWwtMlmHngzaA/P3JtW2n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REGION DE MURCIA</v>
      </c>
      <c r="C2" s="439"/>
      <c r="D2" s="382"/>
    </row>
    <row r="3" spans="1:9" ht="19.5">
      <c r="A3" s="440" t="s">
        <v>11</v>
      </c>
      <c r="B3" s="441" t="str">
        <f>Criterios!A10 &amp;"  "&amp;Criterios!B10</f>
        <v>Provincias  MURCIA</v>
      </c>
      <c r="C3" s="439"/>
      <c r="D3" s="440"/>
    </row>
    <row r="4" spans="1:9" ht="13.5" thickBot="1">
      <c r="B4" s="441" t="str">
        <f>Criterios!A11 &amp;"  "&amp;Criterios!B11</f>
        <v>Resumenes por Partidos Judiciales  YECLA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1</v>
      </c>
      <c r="E10" s="416">
        <f>IF(ISNUMBER(D10/B10),D10/B10," - ")</f>
        <v>1</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56</v>
      </c>
      <c r="E12" s="416">
        <f t="shared" si="0"/>
        <v>28</v>
      </c>
      <c r="F12" s="415">
        <f>IF(ISNUMBER(Datos!N12),Datos!N12," - ")</f>
        <v>128</v>
      </c>
      <c r="G12" s="416">
        <f t="shared" si="1"/>
        <v>64</v>
      </c>
      <c r="H12" s="415">
        <f>IF(ISNUMBER(Datos!O12),Datos!O12," - ")</f>
        <v>85</v>
      </c>
      <c r="I12" s="416">
        <f t="shared" si="2"/>
        <v>42.5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57</v>
      </c>
      <c r="E14" s="997">
        <f t="shared" si="0"/>
        <v>19</v>
      </c>
      <c r="F14" s="996">
        <f>SUBTOTAL(9,F9:F13)</f>
        <v>128</v>
      </c>
      <c r="G14" s="997">
        <f t="shared" si="1"/>
        <v>42.666666666666664</v>
      </c>
      <c r="H14" s="996">
        <f>SUBTOTAL(9,H9:H13)</f>
        <v>85</v>
      </c>
      <c r="I14" s="997">
        <f>IF(ISNUMBER(H14/B14),H14/B14," - ")</f>
        <v>28.333333333333332</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53</v>
      </c>
      <c r="E17" s="416">
        <f t="shared" si="3"/>
        <v>26.5</v>
      </c>
      <c r="F17" s="415">
        <f>IF(ISNUMBER(Datos!N17),Datos!N17," - ")</f>
        <v>169</v>
      </c>
      <c r="G17" s="416">
        <f t="shared" si="4"/>
        <v>84.5</v>
      </c>
      <c r="H17" s="415">
        <f>IF(ISNUMBER(Datos!O17),Datos!O17," - ")</f>
        <v>0</v>
      </c>
      <c r="I17" s="416">
        <f t="shared" si="5"/>
        <v>0</v>
      </c>
    </row>
    <row r="18" spans="1:9">
      <c r="A18" s="414" t="str">
        <f>Datos!A18</f>
        <v>Jdos. Violencia contra la mujer</v>
      </c>
      <c r="B18" s="444">
        <f>Datos!AO18</f>
        <v>1</v>
      </c>
      <c r="C18" s="445">
        <f>Datos!AQ18</f>
        <v>0</v>
      </c>
      <c r="D18" s="415">
        <f>IF(ISNUMBER(Datos!M18),Datos!M18," - ")</f>
        <v>8</v>
      </c>
      <c r="E18" s="416">
        <f>IF(ISNUMBER(D18/B18),D18/B18," - ")</f>
        <v>8</v>
      </c>
      <c r="F18" s="415">
        <f>IF(ISNUMBER(Datos!N18),Datos!N18," - ")</f>
        <v>17</v>
      </c>
      <c r="G18" s="416">
        <f>IF(ISNUMBER(F18/B18),F18/B18," - ")</f>
        <v>17</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61</v>
      </c>
      <c r="E20" s="997">
        <f t="shared" si="3"/>
        <v>20.333333333333332</v>
      </c>
      <c r="F20" s="996">
        <f>SUBTOTAL(9,F16:F19)</f>
        <v>186</v>
      </c>
      <c r="G20" s="997">
        <f t="shared" si="4"/>
        <v>62</v>
      </c>
      <c r="H20" s="996">
        <f>SUBTOTAL(9,H16:H19)</f>
        <v>0</v>
      </c>
      <c r="I20" s="997">
        <f>IF(ISNUMBER(H20/B20),H20/B20," - ")</f>
        <v>0</v>
      </c>
    </row>
    <row r="21" spans="1:9" ht="14.25" thickTop="1" thickBot="1">
      <c r="A21" s="940" t="str">
        <f>Datos!A21</f>
        <v>TOTAL JURISDICCIONES</v>
      </c>
      <c r="B21" s="941">
        <f>Datos!AP21</f>
        <v>2</v>
      </c>
      <c r="C21" s="941">
        <f>Datos!AR21</f>
        <v>2</v>
      </c>
      <c r="D21" s="941">
        <f>SUBTOTAL(9,D8:D20)</f>
        <v>118</v>
      </c>
      <c r="E21" s="942">
        <f>IF(ISNUMBER(D21/B21),D21/B21," - ")</f>
        <v>59</v>
      </c>
      <c r="F21" s="941">
        <f>SUBTOTAL(9,F8:F20)</f>
        <v>314</v>
      </c>
      <c r="G21" s="942">
        <f>IF(ISNUMBER(F21/B21),F21/B21," - ")</f>
        <v>157</v>
      </c>
      <c r="H21" s="941">
        <f>SUBTOTAL(9,H8:H20)</f>
        <v>85</v>
      </c>
      <c r="I21" s="942">
        <f>IF(ISNUMBER(H21/B21),H21/B21," - ")</f>
        <v>42.5</v>
      </c>
    </row>
    <row r="24" spans="1:9">
      <c r="A24" s="403" t="str">
        <f>Criterios!A4</f>
        <v>Fecha Informe: 06 jun. 2023</v>
      </c>
    </row>
    <row r="29" spans="1:9">
      <c r="A29" s="426"/>
    </row>
  </sheetData>
  <sheetProtection algorithmName="SHA-512" hashValue="ArZEN12XFSQMtb8snJfRw2ZiwMm8Z3WU2ZqQjq5WX4oMhy3YNt8QMq4ZmqjA0TMXLunPUDPFThGP/Y3Ff0rmdg==" saltValue="HrD+wzVJ06jroC+M/zzPz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REGION DE MURCIA</v>
      </c>
    </row>
    <row r="3" spans="1:4" ht="19.5">
      <c r="A3" s="446" t="s">
        <v>33</v>
      </c>
      <c r="B3" s="403" t="str">
        <f>Criterios!A10 &amp;"  "&amp;Criterios!B10</f>
        <v>Provincias  MURCIA</v>
      </c>
    </row>
    <row r="4" spans="1:4" ht="13.5" thickBot="1">
      <c r="B4" s="403" t="str">
        <f>Criterios!A11 &amp;"  "&amp;Criterios!B11</f>
        <v>Resumenes por Partidos Judiciales  YECLA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4</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22</v>
      </c>
      <c r="C12" s="451">
        <f>IF(ISNUMBER(Datos!Q12),Datos!Q12," - ")</f>
        <v>10</v>
      </c>
      <c r="D12" s="420">
        <f>IF(ISNUMBER(Datos!R12),Datos!R12," - ")</f>
        <v>1569</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22</v>
      </c>
      <c r="C14" s="1000">
        <f>SUBTOTAL(9,C9:C13)</f>
        <v>10</v>
      </c>
      <c r="D14" s="998">
        <f>SUBTOTAL(9,D9:D13)</f>
        <v>1573</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24</v>
      </c>
      <c r="C17" s="451">
        <f>IF(ISNUMBER(Datos!Q17),Datos!Q17," - ")</f>
        <v>32</v>
      </c>
      <c r="D17" s="420">
        <f>IF(ISNUMBER(Datos!R17),Datos!R17," - ")</f>
        <v>51</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24</v>
      </c>
      <c r="C20" s="1000">
        <f>SUBTOTAL(9,C16:C19)</f>
        <v>32</v>
      </c>
      <c r="D20" s="998">
        <f>SUBTOTAL(9,D16:D19)</f>
        <v>51</v>
      </c>
    </row>
    <row r="21" spans="1:4" ht="16.5" customHeight="1" thickTop="1" thickBot="1">
      <c r="A21" s="940" t="str">
        <f>Datos!A21</f>
        <v>TOTAL JURISDICCIONES</v>
      </c>
      <c r="B21" s="945">
        <f>SUBTOTAL(9,B8:B20)</f>
        <v>46</v>
      </c>
      <c r="C21" s="946">
        <f>SUBTOTAL(9,C8:C20)</f>
        <v>42</v>
      </c>
      <c r="D21" s="947">
        <f>SUBTOTAL(9,D8:D20)</f>
        <v>1624</v>
      </c>
    </row>
    <row r="22" spans="1:4" ht="7.5" customHeight="1"/>
    <row r="23" spans="1:4" ht="6" customHeight="1"/>
    <row r="24" spans="1:4">
      <c r="A24" s="403" t="str">
        <f>Criterios!A4</f>
        <v>Fecha Informe: 06 jun. 2023</v>
      </c>
    </row>
    <row r="29" spans="1:4">
      <c r="A29" s="426"/>
    </row>
  </sheetData>
  <sheetProtection algorithmName="SHA-512" hashValue="KCstMFisxzqi7t8SHBjWHW01lZ93lntCsR6KCar9we7hkpZbpEJNHQz5MzRqtHPahWzdtDV3n/CBbv1FXPL3/A==" saltValue="0+6RMNbkTVM0FXd6LPB1a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REGION DE MURCIA</v>
      </c>
    </row>
    <row r="3" spans="1:11" ht="18.75" customHeight="1">
      <c r="A3" s="446" t="s">
        <v>131</v>
      </c>
      <c r="B3" s="403" t="str">
        <f>Criterios!A10 &amp;"  "&amp;Criterios!B10</f>
        <v>Provincias  MURCIA</v>
      </c>
    </row>
    <row r="4" spans="1:11" ht="10.5" customHeight="1" thickBot="1">
      <c r="B4" s="403" t="str">
        <f>Criterios!A11 &amp;"  "&amp;Criterios!B11</f>
        <v>Resumenes por Partidos Judiciales  YECLA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-0.70588235294117652</v>
      </c>
      <c r="C10" s="473">
        <f>IF(ISNUMBER((Datos!J10-Datos!T10)/Datos!T10),(Datos!J10-Datos!T10)/Datos!T10," - ")</f>
        <v>-0.5</v>
      </c>
      <c r="D10" s="473">
        <f>IF(ISNUMBER((Datos!K10-Datos!U10)/Datos!U10),(Datos!K10-Datos!U10)/Datos!U10," - ")</f>
        <v>-0.5</v>
      </c>
      <c r="E10" s="473">
        <f>IF(ISNUMBER((Datos!L10-Datos!V10)/Datos!V10),(Datos!L10-Datos!V10)/Datos!V10," - ")</f>
        <v>-0.375</v>
      </c>
      <c r="F10" s="473" t="str">
        <f>IF(ISNUMBER((Datos!M10-Datos!W10)/Datos!W10),(Datos!M10-Datos!W10)/Datos!W10," - ")</f>
        <v xml:space="preserve"> - </v>
      </c>
      <c r="G10" s="474" t="str">
        <f>IF(ISNUMBER((Datos!N10-Datos!X10)/Datos!X10),(Datos!N10-Datos!X10)/Datos!X10," - ")</f>
        <v xml:space="preserve"> - </v>
      </c>
      <c r="H10" s="472">
        <f>IF(ISNUMBER(((NºAsuntos!G10/NºAsuntos!E10)-Datos!BD10)/Datos!BD10),((NºAsuntos!G10/NºAsuntos!E10)-Datos!BD10)/Datos!BD10," - ")</f>
        <v>0</v>
      </c>
      <c r="I10" s="473">
        <f>IF(ISNUMBER(((NºAsuntos!I10/NºAsuntos!G10)-Datos!BE10)/Datos!BE10),((NºAsuntos!I10/NºAsuntos!G10)-Datos!BE10)/Datos!BE10," - ")</f>
        <v>0.25</v>
      </c>
      <c r="J10" s="478" t="str">
        <f>IF(ISNUMBER((('Resol  Asuntos'!D10/NºAsuntos!G10)-Datos!BF10)/Datos!BF10),(('Resol  Asuntos'!D10/NºAsuntos!G10)-Datos!BF10)/Datos!BF10," - ")</f>
        <v xml:space="preserve"> - </v>
      </c>
      <c r="K10" s="479">
        <f>IF(ISNUMBER((((NºAsuntos!C10+NºAsuntos!E10)/NºAsuntos!G10)-Datos!BG10)/Datos!BG10),(((NºAsuntos!C10+NºAsuntos!E10)/NºAsuntos!G10)-Datos!BG10)/Datos!BG10," - ")</f>
        <v>-0.36842105263157893</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7.175398633257403E-2</v>
      </c>
      <c r="C12" s="473">
        <f>IF(ISNUMBER(
   IF(J_V="SI",(Datos!J12-Datos!T12)/Datos!T12,(Datos!J12+Datos!Z12-(Datos!T12+Datos!AH12))/(Datos!T12+Datos!AH12))
     ),IF(J_V="SI",(Datos!J12-Datos!T12)/Datos!T12,(Datos!J12+Datos!Z12-(Datos!T12+Datos!AH12))/(Datos!T12+Datos!AH12))," - ")</f>
        <v>-0.52647975077881615</v>
      </c>
      <c r="D12" s="473">
        <f>IF(ISNUMBER(
   IF(J_V="SI",(Datos!K12-Datos!U12)/Datos!U12,(Datos!K12+Datos!AA12-(Datos!U12+Datos!AI12))/(Datos!U12+Datos!AI12))
     ),IF(J_V="SI",(Datos!K12-Datos!U12)/Datos!U12,(Datos!K12+Datos!AA12-(Datos!U12+Datos!AI12))/(Datos!U12+Datos!AI12))," - ")</f>
        <v>-0.1111111111111111</v>
      </c>
      <c r="E12" s="473">
        <f>IF(ISNUMBER(
   IF(J_V="SI",(Datos!L12-Datos!V12)/Datos!V12,(Datos!L12+Datos!AB12-(Datos!V12+Datos!AJ12))/(Datos!V12+Datos!AJ12))
     ),IF(J_V="SI",(Datos!L12-Datos!V12)/Datos!V12,(Datos!L12+Datos!AB12-(Datos!V12+Datos!AJ12))/(Datos!V12+Datos!AJ12))," - ")</f>
        <v>-5.8956916099773243E-2</v>
      </c>
      <c r="F12" s="473">
        <f>IF(ISNUMBER((Datos!M12-Datos!W12)/Datos!W12),(Datos!M12-Datos!W12)/Datos!W12," - ")</f>
        <v>3.7037037037037035E-2</v>
      </c>
      <c r="G12" s="474">
        <f>IF(ISNUMBER((Datos!N12-Datos!X12)/Datos!X12),(Datos!N12-Datos!X12)/Datos!X12," - ")</f>
        <v>0.66233766233766234</v>
      </c>
      <c r="H12" s="472">
        <f>IF(ISNUMBER(((NºAsuntos!G12/NºAsuntos!E12)-Datos!BD12)/Datos!BD12),((NºAsuntos!G12/NºAsuntos!E12)-Datos!BD12)/Datos!BD12," - ")</f>
        <v>0.87719298245614041</v>
      </c>
      <c r="I12" s="473">
        <f>IF(ISNUMBER(((NºAsuntos!I12/NºAsuntos!G12)-Datos!BE12)/Datos!BE12),((NºAsuntos!I12/NºAsuntos!G12)-Datos!BE12)/Datos!BE12," - ")</f>
        <v>5.8673469387755126E-2</v>
      </c>
      <c r="J12" s="478">
        <f>IF(ISNUMBER((('Resol  Asuntos'!D12/NºAsuntos!G12)-Datos!BF12)/Datos!BF12),(('Resol  Asuntos'!D12/NºAsuntos!G12)-Datos!BF12)/Datos!BF12," - ")</f>
        <v>-0.18181818181818174</v>
      </c>
      <c r="K12" s="479">
        <f>IF(ISNUMBER((((NºAsuntos!C12+NºAsuntos!E12)/NºAsuntos!G12)-Datos!BG12)/Datos!BG12),(((NºAsuntos!C12+NºAsuntos!E12)/NºAsuntos!G12)-Datos!BG12)/Datos!BG12," - ")</f>
        <v>2.5542118432026754E-2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5.6983240223463689E-2</v>
      </c>
      <c r="C14" s="1002">
        <f>IF(ISNUMBER(
   IF(J_V="SI",(Datos!J14-Datos!T14)/Datos!T14,(Datos!J14+Datos!Z14-(Datos!T14+Datos!AH14))/(Datos!T14+Datos!AH14))
     ),IF(J_V="SI",(Datos!J14-Datos!T14)/Datos!T14,(Datos!J14+Datos!Z14-(Datos!T14+Datos!AH14))/(Datos!T14+Datos!AH14))," - ")</f>
        <v>-0.52631578947368418</v>
      </c>
      <c r="D14" s="1002">
        <f>IF(ISNUMBER(
   IF(J_V="SI",(Datos!K14-Datos!U14)/Datos!U14,(Datos!K14+Datos!AA14-(Datos!U14+Datos!AI14))/(Datos!U14+Datos!AI14))
     ),IF(J_V="SI",(Datos!K14-Datos!U14)/Datos!U14,(Datos!K14+Datos!AA14-(Datos!U14+Datos!AI14))/(Datos!U14+Datos!AI14))," - ")</f>
        <v>-0.11371237458193979</v>
      </c>
      <c r="E14" s="1002">
        <f>IF(ISNUMBER(
   IF(J_V="SI",(Datos!L14-Datos!V14)/Datos!V14,(Datos!L14+Datos!AB14-(Datos!V14+Datos!AJ14))/(Datos!V14+Datos!AJ14))
     ),IF(J_V="SI",(Datos!L14-Datos!V14)/Datos!V14,(Datos!L14+Datos!AB14-(Datos!V14+Datos!AJ14))/(Datos!V14+Datos!AJ14))," - ")</f>
        <v>-6.1797752808988762E-2</v>
      </c>
      <c r="F14" s="1003">
        <f>IF(ISNUMBER((Datos!M14-Datos!W14)/Datos!W14),(Datos!M14-Datos!W14)/Datos!W14," - ")</f>
        <v>5.5555555555555552E-2</v>
      </c>
      <c r="G14" s="1004">
        <f>IF(ISNUMBER((Datos!N14-Datos!X14)/Datos!X14),(Datos!N14-Datos!X14)/Datos!X14," - ")</f>
        <v>0.66233766233766234</v>
      </c>
      <c r="H14" s="1004">
        <f>IF(ISNUMBER(((NºAsuntos!G14/NºAsuntos!E14)-Datos!BD14)/Datos!BD14),((NºAsuntos!G14/NºAsuntos!E14)-Datos!BD14)/Datos!BD14," - ")</f>
        <v>0.87105165366034931</v>
      </c>
      <c r="I14" s="1004">
        <f>IF(ISNUMBER(((NºAsuntos!I14/NºAsuntos!G14)-Datos!BE14)/Datos!BE14),((NºAsuntos!I14/NºAsuntos!G14)-Datos!BE14)/Datos!BE14," - ")</f>
        <v>5.8575365698537267E-2</v>
      </c>
      <c r="J14" s="1004">
        <f>IF(ISNUMBER((('Resol  Asuntos'!D14/NºAsuntos!G14)-Datos!BF14)/Datos!BF14),(('Resol  Asuntos'!D14/NºAsuntos!G14)-Datos!BF14)/Datos!BF14," - ")</f>
        <v>-0.16476353834844396</v>
      </c>
      <c r="K14" s="1004">
        <f>IF(ISNUMBER((((NºAsuntos!C14+NºAsuntos!E14)/NºAsuntos!G14)-Datos!BG14)/Datos!BG14),(((NºAsuntos!C14+NºAsuntos!E14)/NºAsuntos!G14)-Datos!BG14)/Datos!BG14," - ")</f>
        <v>1.8065495554109575E-2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-4.8442906574394463E-2</v>
      </c>
      <c r="C17" s="473">
        <f>IF(ISNUMBER(
   IF(D_I="SI",(Datos!J17-Datos!T17)/Datos!T17,(Datos!J17+Datos!AD17-(Datos!T17+Datos!AL17))/(Datos!T17+Datos!AL17))
     ),IF(D_I="SI",(Datos!J17-Datos!T17)/Datos!T17,(Datos!J17+Datos!AD17-(Datos!T17+Datos!AL17))/(Datos!T17+Datos!AL17))," - ")</f>
        <v>0.17721518987341772</v>
      </c>
      <c r="D17" s="473">
        <f>IF(ISNUMBER(
   IF(D_I="SI",(Datos!K17-Datos!U17)/Datos!U17,(Datos!K17+Datos!AE17-(Datos!U17+Datos!AM17))/(Datos!U17+Datos!AM17))
     ),IF(D_I="SI",(Datos!K17-Datos!U17)/Datos!U17,(Datos!K17+Datos!AE17-(Datos!U17+Datos!AM17))/(Datos!U17+Datos!AM17))," - ")</f>
        <v>-0.12188365650969529</v>
      </c>
      <c r="E17" s="473">
        <f>IF(ISNUMBER(
   IF(D_I="SI",(Datos!L17-Datos!V17)/Datos!V17,(Datos!L17+Datos!AF17-(Datos!V17+Datos!AN17))/(Datos!V17+Datos!AN17))
     ),IF(D_I="SI",(Datos!L17-Datos!V17)/Datos!V17,(Datos!L17+Datos!AF17-(Datos!V17+Datos!AN17))/(Datos!V17+Datos!AN17))," - ")</f>
        <v>0.1350844277673546</v>
      </c>
      <c r="F17" s="473">
        <f>IF(ISNUMBER((Datos!M17-Datos!W17)/Datos!W17),(Datos!M17-Datos!W17)/Datos!W17," - ")</f>
        <v>0.10416666666666667</v>
      </c>
      <c r="G17" s="474">
        <f>IF(ISNUMBER((Datos!N17-Datos!X17)/Datos!X17),(Datos!N17-Datos!X17)/Datos!X17," - ")</f>
        <v>-0.26521739130434785</v>
      </c>
      <c r="H17" s="472">
        <f>IF(ISNUMBER(((NºAsuntos!G17/NºAsuntos!E17)-Datos!BD17)/Datos!BD17),((NºAsuntos!G17/NºAsuntos!E17)-Datos!BD17)/Datos!BD17," - ")</f>
        <v>-0.25407321359425733</v>
      </c>
      <c r="I17" s="473">
        <f>IF(ISNUMBER(((NºAsuntos!I17/NºAsuntos!G17)-Datos!BE17)/Datos!BE17),((NºAsuntos!I17/NºAsuntos!G17)-Datos!BE17)/Datos!BE17," - ")</f>
        <v>0.29263557862465306</v>
      </c>
      <c r="J17" s="478">
        <f>IF(ISNUMBER((('Resol  Asuntos'!D17/NºAsuntos!G17)-Datos!BF17)/Datos!BF17),(('Resol  Asuntos'!D17/NºAsuntos!G17)-Datos!BF17)/Datos!BF17," - ")</f>
        <v>0.25742639327024169</v>
      </c>
      <c r="K17" s="479">
        <f>IF(ISNUMBER((((NºAsuntos!C17+NºAsuntos!E17)/NºAsuntos!G17)-Datos!BG17)/Datos!BG17),(((NºAsuntos!C17+NºAsuntos!E17)/NºAsuntos!G17)-Datos!BG17)/Datos!BG17," - ")</f>
        <v>0.17446841544400465</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8.8235294117647065E-2</v>
      </c>
      <c r="C18" s="473">
        <f>IF(ISNUMBER(
   IF(D_I="SI",(Datos!J18-Datos!T18)/Datos!T18,(Datos!J18+Datos!AD18-(Datos!T18+Datos!AL18))/(Datos!T18+Datos!AL18))
     ),IF(D_I="SI",(Datos!J18-Datos!T18)/Datos!T18,(Datos!J18+Datos!AD18-(Datos!T18+Datos!AL18))/(Datos!T18+Datos!AL18))," - ")</f>
        <v>0.84615384615384615</v>
      </c>
      <c r="D18" s="473">
        <f>IF(ISNUMBER(
   IF(D_I="SI",(Datos!K18-Datos!U18)/Datos!U18,(Datos!K18+Datos!AE18-(Datos!U18+Datos!AM18))/(Datos!U18+Datos!AM18))
     ),IF(D_I="SI",(Datos!K18-Datos!U18)/Datos!U18,(Datos!K18+Datos!AE18-(Datos!U18+Datos!AM18))/(Datos!U18+Datos!AM18))," - ")</f>
        <v>0.96</v>
      </c>
      <c r="E18" s="473">
        <f>IF(ISNUMBER(
   IF(D_I="SI",(Datos!L18-Datos!V18)/Datos!V18,(Datos!L18+Datos!AF18-(Datos!V18+Datos!AN18))/(Datos!V18+Datos!AN18))
     ),IF(D_I="SI",(Datos!L18-Datos!V18)/Datos!V18,(Datos!L18+Datos!AF18-(Datos!V18+Datos!AN18))/(Datos!V18+Datos!AN18))," - ")</f>
        <v>2.8571428571428571E-2</v>
      </c>
      <c r="F18" s="473">
        <f>IF(ISNUMBER((Datos!M18-Datos!W18)/Datos!W18),(Datos!M18-Datos!W18)/Datos!W18," - ")</f>
        <v>-0.2</v>
      </c>
      <c r="G18" s="474">
        <f>IF(ISNUMBER((Datos!N18-Datos!X18)/Datos!X18),(Datos!N18-Datos!X18)/Datos!X18," - ")</f>
        <v>0.88888888888888884</v>
      </c>
      <c r="H18" s="472">
        <f>IF(ISNUMBER(((NºAsuntos!G18/NºAsuntos!E18)-Datos!BD18)/Datos!BD18),((NºAsuntos!G18/NºAsuntos!E18)-Datos!BD18)/Datos!BD18," - ")</f>
        <v>6.1666666666666564E-2</v>
      </c>
      <c r="I18" s="473">
        <f>IF(ISNUMBER(((NºAsuntos!I18/NºAsuntos!G18)-Datos!BE18)/Datos!BE18),((NºAsuntos!I18/NºAsuntos!G18)-Datos!BE18)/Datos!BE18," - ")</f>
        <v>-0.47521865889212822</v>
      </c>
      <c r="J18" s="478">
        <f>IF(ISNUMBER((('Resol  Asuntos'!D18/NºAsuntos!G18)-Datos!BF18)/Datos!BF18),(('Resol  Asuntos'!D18/NºAsuntos!G18)-Datos!BF18)/Datos!BF18," - ")</f>
        <v>-0.59183673469387765</v>
      </c>
      <c r="K18" s="479">
        <f>IF(ISNUMBER((((NºAsuntos!C18+NºAsuntos!E18)/NºAsuntos!G18)-Datos!BG18)/Datos!BG18),(((NºAsuntos!C18+NºAsuntos!E18)/NºAsuntos!G18)-Datos!BG18)/Datos!BG18," - ")</f>
        <v>-0.27721088435374153</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-4.084967320261438E-2</v>
      </c>
      <c r="C20" s="1002">
        <f>IF(ISNUMBER(
   IF(Criterios!B14="SI",(Datos!J20-Datos!T20)/Datos!T20,(Datos!J20+Datos!AD20-(Datos!T20+Datos!AL20))/(Datos!T20+Datos!AL20))
     ),IF(Criterios!B14="SI",(Datos!J20-Datos!T20)/Datos!T20,(Datos!J20+Datos!AD20-(Datos!T20+Datos!AL20))/(Datos!T20+Datos!AL20))," - ")</f>
        <v>0.22807017543859648</v>
      </c>
      <c r="D20" s="1002">
        <f>IF(ISNUMBER(
   IF(Criterios!B14="SI",(Datos!K20-Datos!U20)/Datos!U20,(Datos!K20+Datos!AE20-(Datos!U20+Datos!AM20))/(Datos!U20+Datos!AM20))
     ),IF(Criterios!B14="SI",(Datos!K20-Datos!U20)/Datos!U20,(Datos!K20+Datos!AE20-(Datos!U20+Datos!AM20))/(Datos!U20+Datos!AM20))," - ")</f>
        <v>-5.181347150259067E-2</v>
      </c>
      <c r="E20" s="1002">
        <f>IF(ISNUMBER(
   IF(Criterios!B14="SI",(Datos!L20-Datos!V20)/Datos!V20,(Datos!L20+Datos!AF20-(Datos!V20+Datos!AN20))/(Datos!V20+Datos!AN20))
     ),IF(Criterios!B14="SI",(Datos!L20-Datos!V20)/Datos!V20,(Datos!L20+Datos!AF20-(Datos!V20+Datos!AN20))/(Datos!V20+Datos!AN20))," - ")</f>
        <v>0.12852112676056338</v>
      </c>
      <c r="F20" s="1003">
        <f>IF(ISNUMBER((Datos!M20-Datos!W20)/Datos!W20),(Datos!M20-Datos!W20)/Datos!W20," - ")</f>
        <v>5.1724137931034482E-2</v>
      </c>
      <c r="G20" s="1004">
        <f>IF(ISNUMBER((Datos!N20-Datos!X20)/Datos!X20),(Datos!N20-Datos!X20)/Datos!X20," - ")</f>
        <v>-0.22175732217573221</v>
      </c>
      <c r="H20" s="1004">
        <f>IF(ISNUMBER(((NºAsuntos!G20/NºAsuntos!E20)-Datos!BD20)/Datos!BD20),((NºAsuntos!G20/NºAsuntos!E20)-Datos!BD20)/Datos!BD20," - ")</f>
        <v>-0.22790525536639533</v>
      </c>
      <c r="I20" s="1004">
        <f>IF(ISNUMBER(((NºAsuntos!I20/NºAsuntos!G20)-Datos!BE20)/Datos!BE20),((NºAsuntos!I20/NºAsuntos!G20)-Datos!BE20)/Datos!BE20," - ")</f>
        <v>0.19018894789502053</v>
      </c>
      <c r="J20" s="1004">
        <f>IF(ISNUMBER((('Resol  Asuntos'!D20/NºAsuntos!G20)-Datos!BF20)/Datos!BF20),(('Resol  Asuntos'!D20/NºAsuntos!G20)-Datos!BF20)/Datos!BF20," - ")</f>
        <v>0.10919540229885047</v>
      </c>
      <c r="K20" s="1004">
        <f>IF(ISNUMBER((((NºAsuntos!C20+NºAsuntos!E20)/NºAsuntos!G20)-Datos!BG20)/Datos!BG20),(((NºAsuntos!C20+NºAsuntos!E20)/NºAsuntos!G20)-Datos!BG20)/Datos!BG20," - ")</f>
        <v>0.11323618700667878</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1.7252820172528202E-2</v>
      </c>
      <c r="C21" s="949">
        <f>IF(ISNUMBER(
   IF(J_V="SI",(Datos!J21-Datos!T21)/Datos!T21,(Datos!J21+Datos!Z21-(Datos!T21+Datos!AH21))/(Datos!T21+Datos!AH21))
     ),IF(J_V="SI",(Datos!J21-Datos!T21)/Datos!T21,(Datos!J21+Datos!Z21-(Datos!T21+Datos!AH21))/(Datos!T21+Datos!AH21))," - ")</f>
        <v>-0.13834586466165413</v>
      </c>
      <c r="D21" s="949">
        <f>IF(ISNUMBER(
   IF(J_V="SI",(Datos!K21-Datos!U21)/Datos!U21,(Datos!K21+Datos!AA21-(Datos!U21+Datos!AI21))/(Datos!U21+Datos!AI21))
     ),IF(J_V="SI",(Datos!K21-Datos!U21)/Datos!U21,(Datos!K21+Datos!AA21-(Datos!U21+Datos!AI21))/(Datos!U21+Datos!AI21))," - ")</f>
        <v>-7.8832116788321166E-2</v>
      </c>
      <c r="E21" s="949">
        <f>IF(ISNUMBER(
   IF(J_V="SI",(Datos!L21-Datos!V21)/Datos!V21,(Datos!L21+Datos!AB21-(Datos!V21+Datos!AJ21))/(Datos!V21+Datos!AJ21))
     ),IF(J_V="SI",(Datos!L21-Datos!V21)/Datos!V21,(Datos!L21+Datos!AB21-(Datos!V21+Datos!AJ21))/(Datos!V21+Datos!AJ21))," - ")</f>
        <v>1.2345679012345678E-2</v>
      </c>
      <c r="F21" s="950">
        <f>IF(ISNUMBER((Datos!M21-Datos!W21)/Datos!W21),(Datos!M21-Datos!W21)/Datos!W21," - ")</f>
        <v>5.3571428571428568E-2</v>
      </c>
      <c r="G21" s="951">
        <f>IF(ISNUMBER((Datos!N21-Datos!X21)/Datos!X21),(Datos!N21-Datos!X21)/Datos!X21," - ")</f>
        <v>-6.3291139240506328E-3</v>
      </c>
      <c r="H21" s="952">
        <f>IF(ISNUMBER((Tasas!B21-Datos!BD21)/Datos!BD21),(Tasas!B21-Datos!BD21)/Datos!BD21," - ")</f>
        <v>6.9069183832053016E-2</v>
      </c>
      <c r="I21" s="953">
        <f>IF(ISNUMBER((Tasas!C21-Datos!BE21)/Datos!BE21),(Tasas!C21-Datos!BE21)/Datos!BE21," - ")</f>
        <v>9.8980649957934652E-2</v>
      </c>
      <c r="J21" s="954">
        <f>IF(ISNUMBER((Tasas!D21-Datos!BF21)/Datos!BF21),(Tasas!D21-Datos!BF21)/Datos!BF21," - ")</f>
        <v>-5.1124024182661383E-2</v>
      </c>
      <c r="K21" s="954">
        <f>IF(ISNUMBER((Tasas!E21-Datos!BG21)/Datos!BG21),(Tasas!E21-Datos!BG21)/Datos!BG21," - ")</f>
        <v>5.259125653395906E-2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NOLUxcGSdKW+19TJo5jWGbmTa9l6XyN6XtVnoxAE4c9homrCnDhd8oKPo75dXobu8/l1soMYv55g5ifmgg1H+Q==" saltValue="cmh2TRialqzNfJJFKlaIlA=="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REGION DE MURCIA</v>
      </c>
    </row>
    <row r="3" spans="1:7" ht="19.5">
      <c r="A3" s="453" t="s">
        <v>12</v>
      </c>
      <c r="B3" s="403" t="str">
        <f>Criterios!A10 &amp;"  "&amp;Criterios!B10</f>
        <v>Provincias  MURCIA</v>
      </c>
    </row>
    <row r="4" spans="1:7" ht="11.25" customHeight="1" thickBot="1">
      <c r="B4" s="403" t="str">
        <f>Criterios!A11 &amp;"  "&amp;Criterios!B11</f>
        <v>Resumenes por Partidos Judiciales  YECLA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1</v>
      </c>
      <c r="C10" s="460">
        <f>IF(ISNUMBER(NºAsuntos!I10/NºAsuntos!G10),NºAsuntos!I10/NºAsuntos!G10," - ")</f>
        <v>5</v>
      </c>
      <c r="D10" s="461">
        <f>IF(ISNUMBER('Resol  Asuntos'!D10/NºAsuntos!G10),'Resol  Asuntos'!D10/NºAsuntos!G10," - ")</f>
        <v>1</v>
      </c>
      <c r="E10" s="462">
        <f>IF(ISNUMBER((NºAsuntos!C10+NºAsuntos!E10)/NºAsuntos!G10),(NºAsuntos!C10+NºAsuntos!E10)/NºAsuntos!G10," - ")</f>
        <v>6</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1.736842105263158</v>
      </c>
      <c r="C12" s="460">
        <f>IF(ISNUMBER(NºAsuntos!I12/NºAsuntos!G12),NºAsuntos!I12/NºAsuntos!G12," - ")</f>
        <v>3.143939393939394</v>
      </c>
      <c r="D12" s="461">
        <f>IF(ISNUMBER('Resol  Asuntos'!D12/NºAsuntos!G12),'Resol  Asuntos'!D12/NºAsuntos!G12," - ")</f>
        <v>0.21212121212121213</v>
      </c>
      <c r="E12" s="462">
        <f>IF(ISNUMBER((NºAsuntos!C12+NºAsuntos!E12)/NºAsuntos!G12),(NºAsuntos!C12+NºAsuntos!E12)/NºAsuntos!G12," - ")</f>
        <v>4.1401515151515156</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1.7320261437908497</v>
      </c>
      <c r="C14" s="1006">
        <f>IF(ISNUMBER(NºAsuntos!I14/NºAsuntos!G14),NºAsuntos!I14/NºAsuntos!G14," - ")</f>
        <v>3.1509433962264151</v>
      </c>
      <c r="D14" s="1007">
        <f>IF(ISNUMBER('Resol  Asuntos'!D14/NºAsuntos!G14),'Resol  Asuntos'!D14/NºAsuntos!G14," - ")</f>
        <v>0.21509433962264152</v>
      </c>
      <c r="E14" s="1008">
        <f>IF(ISNUMBER((NºAsuntos!C14+NºAsuntos!E14)/NºAsuntos!G14),(NºAsuntos!C14+NºAsuntos!E14)/NºAsuntos!G14," - ")</f>
        <v>4.1471698113207545</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0.85215053763440862</v>
      </c>
      <c r="C17" s="460">
        <f>IF(ISNUMBER(NºAsuntos!I17/NºAsuntos!G17),NºAsuntos!I17/NºAsuntos!G17," - ")</f>
        <v>1.9085173501577286</v>
      </c>
      <c r="D17" s="461">
        <f>IF(ISNUMBER('Resol  Asuntos'!D17/NºAsuntos!G17),'Resol  Asuntos'!D17/NºAsuntos!G17," - ")</f>
        <v>0.16719242902208201</v>
      </c>
      <c r="E17" s="462">
        <f>IF(ISNUMBER((NºAsuntos!C17+NºAsuntos!E17)/NºAsuntos!G17),(NºAsuntos!C17+NºAsuntos!E17)/NºAsuntos!G17," - ")</f>
        <v>2.9085173501577288</v>
      </c>
      <c r="G17" s="480"/>
    </row>
    <row r="18" spans="1:7">
      <c r="A18" s="414" t="str">
        <f>Datos!A18</f>
        <v>Jdos. Violencia contra la mujer</v>
      </c>
      <c r="B18" s="459">
        <f>IF(ISNUMBER(NºAsuntos!G18/NºAsuntos!E18),NºAsuntos!G18/NºAsuntos!E18," - ")</f>
        <v>1.0208333333333333</v>
      </c>
      <c r="C18" s="460">
        <f>IF(ISNUMBER(NºAsuntos!I18/NºAsuntos!G18),NºAsuntos!I18/NºAsuntos!G18," - ")</f>
        <v>0.73469387755102045</v>
      </c>
      <c r="D18" s="461">
        <f>IF(ISNUMBER('Resol  Asuntos'!D18/NºAsuntos!G18),'Resol  Asuntos'!D18/NºAsuntos!G18," - ")</f>
        <v>0.16326530612244897</v>
      </c>
      <c r="E18" s="462">
        <f>IF(ISNUMBER((NºAsuntos!C18+NºAsuntos!E18)/NºAsuntos!G18),(NºAsuntos!C18+NºAsuntos!E18)/NºAsuntos!G18," - ")</f>
        <v>1.7346938775510203</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0.87142857142857144</v>
      </c>
      <c r="C20" s="1006">
        <f>IF(ISNUMBER(NºAsuntos!I20/NºAsuntos!G20),NºAsuntos!I20/NºAsuntos!G20," - ")</f>
        <v>1.7513661202185793</v>
      </c>
      <c r="D20" s="1009">
        <f>IF(ISNUMBER('Resol  Asuntos'!D20/NºAsuntos!G20),'Resol  Asuntos'!D20/NºAsuntos!G20," - ")</f>
        <v>0.16666666666666666</v>
      </c>
      <c r="E20" s="1008">
        <f>IF(ISNUMBER((NºAsuntos!C20+NºAsuntos!E20)/NºAsuntos!G20),(NºAsuntos!C20+NºAsuntos!E20)/NºAsuntos!G20," - ")</f>
        <v>2.7513661202185791</v>
      </c>
      <c r="G20" s="480"/>
    </row>
    <row r="21" spans="1:7" ht="15.75" customHeight="1" thickTop="1" thickBot="1">
      <c r="A21" s="940" t="str">
        <f>Datos!A21</f>
        <v>TOTAL JURISDICCIONES</v>
      </c>
      <c r="B21" s="955">
        <f>IF(ISNUMBER(NºAsuntos!G21/NºAsuntos!E21),NºAsuntos!G21/NºAsuntos!E21," - ")</f>
        <v>1.1012216404886561</v>
      </c>
      <c r="C21" s="956">
        <f>IF(ISNUMBER(NºAsuntos!I21/NºAsuntos!G21),NºAsuntos!I21/NºAsuntos!G21," - ")</f>
        <v>2.3391442155309035</v>
      </c>
      <c r="D21" s="957">
        <f>IF(ISNUMBER('Resol  Asuntos'!D21/NºAsuntos!G21),'Resol  Asuntos'!D21/NºAsuntos!G21," - ")</f>
        <v>0.18700475435816163</v>
      </c>
      <c r="E21" s="958">
        <f>IF(ISNUMBER((NºAsuntos!C21+NºAsuntos!E21)/NºAsuntos!G21),(NºAsuntos!C21+NºAsuntos!E21)/NºAsuntos!G21," - ")</f>
        <v>3.3375594294770208</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8kcRqLQ/meYJ78pkGxxO0fZwaDw7ADKVEcgUxRRDCAlCK6j+aiGs8vJ7U09YAK4c00FVXKyd6bBW2g1BY0mMsw==" saltValue="zo1g9fRRh+kbQ4cLaEG0yg=="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REGION DE MURCIA</v>
      </c>
      <c r="G2" s="340"/>
      <c r="H2" s="339"/>
      <c r="I2" s="339"/>
      <c r="J2" s="339"/>
      <c r="K2" s="339"/>
      <c r="L2" s="339" t="str">
        <f>Criterios!A10 &amp;"  "&amp;Criterios!B10</f>
        <v>Provincias  MURCIA</v>
      </c>
      <c r="N2" s="339" t="str">
        <f>Criterios!A11 &amp;"  "&amp;Criterios!B11</f>
        <v>Resumenes por Partidos Judiciales  YECLA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5</v>
      </c>
      <c r="G10" s="343">
        <f>IF(ISNUMBER(Datos!I10),Datos!I10," - ")</f>
        <v>5</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1</v>
      </c>
      <c r="X10" s="231">
        <f>IF(ISNUMBER(Datos!Q10),Datos!Q10," - ")</f>
        <v>0</v>
      </c>
      <c r="Y10" s="344">
        <f t="shared" ref="Y10:Y13" si="0">SUM(W10:X10)</f>
        <v>1</v>
      </c>
      <c r="Z10" s="345" t="str">
        <f>IF(ISNUMBER(Datos!CC10),Datos!CC10," - ")</f>
        <v xml:space="preserve"> - </v>
      </c>
      <c r="AA10" s="342">
        <f>IF(ISNUMBER(Datos!L10),Datos!L10,"-")</f>
        <v>5</v>
      </c>
      <c r="AB10" s="344">
        <f>IF(ISNUMBER(Datos!R10),Datos!R10," - ")</f>
        <v>4</v>
      </c>
      <c r="AC10" s="344">
        <f t="shared" ref="AC10:AC13" si="1">IF(ISNUMBER(AA10+AB10),AA10+AB10," - ")</f>
        <v>9</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1</v>
      </c>
      <c r="AJ10" s="236" t="str">
        <f>IF(ISNUMBER(Datos!BW10),Datos!BW10," - ")</f>
        <v xml:space="preserve"> - </v>
      </c>
      <c r="AK10" s="237" t="str">
        <f>IF(ISNUMBER(Datos!BX10),Datos!BX10," - ")</f>
        <v xml:space="preserve"> - </v>
      </c>
      <c r="AL10" s="248">
        <f>IF(ISNUMBER(NºAsuntos!G10/NºAsuntos!E10),NºAsuntos!G10/NºAsuntos!E10," - ")</f>
        <v>1</v>
      </c>
      <c r="AM10" s="265">
        <f>IF(ISNUMBER(((NºAsuntos!I10/NºAsuntos!G10)*11)/factor_trimestre),((NºAsuntos!I10/NºAsuntos!G10)*11)/factor_trimestre," - ")</f>
        <v>15</v>
      </c>
      <c r="AN10" s="249">
        <f>IF(ISNUMBER('Resol  Asuntos'!D10/NºAsuntos!G10),'Resol  Asuntos'!D10/NºAsuntos!G10," - ")</f>
        <v>1</v>
      </c>
      <c r="AO10" s="250">
        <f>IF(ISNUMBER((NºAsuntos!C10+NºAsuntos!E10)/NºAsuntos!G10),(NºAsuntos!C10+NºAsuntos!E10)/NºAsuntos!G10," - ")</f>
        <v>6</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22</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10</v>
      </c>
      <c r="Y12" s="344">
        <f t="shared" si="0"/>
        <v>10</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1569</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56</v>
      </c>
      <c r="AJ12" s="234" t="str">
        <f>IF(ISNUMBER(Datos!BW12),Datos!BW12," - ")</f>
        <v xml:space="preserve"> - </v>
      </c>
      <c r="AK12" s="233" t="str">
        <f>IF(ISNUMBER(Datos!BX12),Datos!BX12," - ")</f>
        <v xml:space="preserve"> - </v>
      </c>
      <c r="AL12" s="248">
        <f>IF(ISNUMBER(NºAsuntos!G12/NºAsuntos!E12),NºAsuntos!G12/NºAsuntos!E12," - ")</f>
        <v>1.736842105263158</v>
      </c>
      <c r="AM12" s="265">
        <f>IF(ISNUMBER(((NºAsuntos!I12/NºAsuntos!G12)*11)/factor_trimestre),((NºAsuntos!I12/NºAsuntos!G12)*11)/factor_trimestre," - ")</f>
        <v>9.4318181818181834</v>
      </c>
      <c r="AN12" s="249">
        <f>IF(ISNUMBER('Resol  Asuntos'!D12/NºAsuntos!G12),'Resol  Asuntos'!D12/NºAsuntos!G12," - ")</f>
        <v>0.21212121212121213</v>
      </c>
      <c r="AO12" s="250">
        <f>IF(ISNUMBER((NºAsuntos!C12+NºAsuntos!E12)/NºAsuntos!G12),(NºAsuntos!C12+NºAsuntos!E12)/NºAsuntos!G12," - ")</f>
        <v>4.1401515151515156</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5</v>
      </c>
      <c r="G14" s="1013">
        <f t="shared" si="5"/>
        <v>5</v>
      </c>
      <c r="H14" s="1012">
        <f t="shared" si="5"/>
        <v>0</v>
      </c>
      <c r="I14" s="1014">
        <f t="shared" si="5"/>
        <v>0</v>
      </c>
      <c r="J14" s="1014">
        <f t="shared" si="5"/>
        <v>0</v>
      </c>
      <c r="K14" s="1014">
        <f t="shared" si="5"/>
        <v>0</v>
      </c>
      <c r="L14" s="1014">
        <f t="shared" si="5"/>
        <v>22</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1</v>
      </c>
      <c r="X14" s="1014">
        <f t="shared" si="6"/>
        <v>10</v>
      </c>
      <c r="Y14" s="1015">
        <f t="shared" si="6"/>
        <v>11</v>
      </c>
      <c r="Z14" s="1015">
        <f t="shared" si="6"/>
        <v>0</v>
      </c>
      <c r="AA14" s="1015">
        <f t="shared" si="6"/>
        <v>5</v>
      </c>
      <c r="AB14" s="1015">
        <f t="shared" si="6"/>
        <v>1573</v>
      </c>
      <c r="AC14" s="1015">
        <f t="shared" si="6"/>
        <v>9</v>
      </c>
      <c r="AD14" s="1015">
        <f t="shared" si="6"/>
        <v>0</v>
      </c>
      <c r="AE14" s="1019">
        <f t="shared" si="6"/>
        <v>0</v>
      </c>
      <c r="AF14" s="1012">
        <f t="shared" si="6"/>
        <v>0</v>
      </c>
      <c r="AG14" s="1020">
        <f t="shared" si="6"/>
        <v>0</v>
      </c>
      <c r="AH14" s="1017">
        <f t="shared" si="6"/>
        <v>0</v>
      </c>
      <c r="AI14" s="1012">
        <f t="shared" si="6"/>
        <v>57</v>
      </c>
      <c r="AJ14" s="1014">
        <f t="shared" si="6"/>
        <v>0</v>
      </c>
      <c r="AK14" s="1017">
        <f>SUBTOTAL(9,AK9:AK13)</f>
        <v>0</v>
      </c>
      <c r="AL14" s="1021">
        <f>IF(ISNUMBER(NºAsuntos!G14/NºAsuntos!E14),NºAsuntos!G14/NºAsuntos!E14," - ")</f>
        <v>1.7320261437908497</v>
      </c>
      <c r="AM14" s="1021">
        <f>IF(ISNUMBER(((NºAsuntos!I14/NºAsuntos!G14)*11)/factor_trimestre),((NºAsuntos!I14/NºAsuntos!G14)*11)/factor_trimestre," - ")</f>
        <v>9.4528301886792452</v>
      </c>
      <c r="AN14" s="1022">
        <f>IF(ISNUMBER('Resol  Asuntos'!D14/NºAsuntos!G14),'Resol  Asuntos'!D14/NºAsuntos!G14," - ")</f>
        <v>0.21509433962264152</v>
      </c>
      <c r="AO14" s="1023">
        <f>IF(ISNUMBER((NºAsuntos!C14+NºAsuntos!E14)/NºAsuntos!G14),(NºAsuntos!C14+NºAsuntos!E14)/NºAsuntos!G14," - ")</f>
        <v>4.1471698113207545</v>
      </c>
      <c r="AP14" s="1024" t="str">
        <f t="shared" si="2"/>
        <v xml:space="preserve"> - </v>
      </c>
      <c r="AQ14" s="1024">
        <f>IF(ISNUMBER((H14-W14+K14)/(F14)),(H14-W14+K14)/(F14)," - ")</f>
        <v>-0.2</v>
      </c>
      <c r="AR14" s="1025">
        <f>IF(ISNUMBER((Datos!P14-Datos!Q14)/(Datos!R14-Datos!P14+Datos!Q14)),(Datos!P14-Datos!Q14)/(Datos!R14-Datos!P14+Datos!Q14)," - ")</f>
        <v>7.6873798846893021E-3</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550</v>
      </c>
      <c r="G17" s="343">
        <f>IF(ISNUMBER(IF(D_I="SI",Datos!I17,Datos!I17+Datos!AC17)),IF(D_I="SI",Datos!I17,Datos!I17+Datos!AC17)," - ")</f>
        <v>550</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24</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317</v>
      </c>
      <c r="X17" s="231">
        <f>IF(ISNUMBER(Datos!Q17),Datos!Q17," - ")</f>
        <v>32</v>
      </c>
      <c r="Y17" s="344">
        <f t="shared" ref="Y17:Y19" si="9">SUM(W17:X17)</f>
        <v>349</v>
      </c>
      <c r="Z17" s="345" t="str">
        <f>IF(ISNUMBER(Datos!CC17),Datos!CC17," - ")</f>
        <v xml:space="preserve"> - </v>
      </c>
      <c r="AA17" s="342">
        <f>IF(ISNUMBER(IF(D_I="SI",Datos!L17,Datos!L17+Datos!AF17)),IF(D_I="SI",Datos!L17,Datos!L17+Datos!AF17)," - ")</f>
        <v>605</v>
      </c>
      <c r="AB17" s="344">
        <f>IF(ISNUMBER(Datos!R17),Datos!R17," - ")</f>
        <v>51</v>
      </c>
      <c r="AC17" s="344">
        <f t="shared" si="8"/>
        <v>656</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53</v>
      </c>
      <c r="AJ17" s="236" t="str">
        <f>IF(ISNUMBER(Datos!BW17),Datos!BW17," - ")</f>
        <v xml:space="preserve"> - </v>
      </c>
      <c r="AK17" s="237" t="str">
        <f>IF(ISNUMBER(Datos!BX17),Datos!BX17," - ")</f>
        <v xml:space="preserve"> - </v>
      </c>
      <c r="AL17" s="248">
        <f>IF(ISNUMBER(NºAsuntos!G17/NºAsuntos!E17),NºAsuntos!G17/NºAsuntos!E17," - ")</f>
        <v>0.85215053763440862</v>
      </c>
      <c r="AM17" s="265">
        <f>IF(ISNUMBER(((NºAsuntos!I17/NºAsuntos!G17)*11)/factor_trimestre),((NºAsuntos!I17/NºAsuntos!G17)*11)/factor_trimestre," - ")</f>
        <v>5.725552050473186</v>
      </c>
      <c r="AN17" s="249">
        <f>IF(ISNUMBER('Resol  Asuntos'!D17/NºAsuntos!G17),'Resol  Asuntos'!D17/NºAsuntos!G17," - ")</f>
        <v>0.16719242902208201</v>
      </c>
      <c r="AO17" s="250">
        <f>IF(ISNUMBER((NºAsuntos!C17+NºAsuntos!E17)/NºAsuntos!G17),(NºAsuntos!C17+NºAsuntos!E17)/NºAsuntos!G17," - ")</f>
        <v>2.9085173501577288</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37</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49</v>
      </c>
      <c r="X18" s="231">
        <f>IF(ISNUMBER(Datos!Q18),Datos!Q18," - ")</f>
        <v>0</v>
      </c>
      <c r="Y18" s="344">
        <f t="shared" si="9"/>
        <v>49</v>
      </c>
      <c r="Z18" s="345" t="str">
        <f>IF(ISNUMBER(Datos!CC18),Datos!CC18," - ")</f>
        <v xml:space="preserve"> - </v>
      </c>
      <c r="AA18" s="342">
        <f>IF(ISNUMBER(Datos!L18),Datos!L18,"-")</f>
        <v>36</v>
      </c>
      <c r="AB18" s="344">
        <f>IF(ISNUMBER(Datos!R18),Datos!R18," - ")</f>
        <v>0</v>
      </c>
      <c r="AC18" s="344">
        <f t="shared" si="8"/>
        <v>36</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8</v>
      </c>
      <c r="AJ18" s="236" t="str">
        <f>IF(ISNUMBER(Datos!BW18),Datos!BW18," - ")</f>
        <v xml:space="preserve"> - </v>
      </c>
      <c r="AK18" s="237" t="str">
        <f>IF(ISNUMBER(Datos!BX18),Datos!BX18," - ")</f>
        <v xml:space="preserve"> - </v>
      </c>
      <c r="AL18" s="248">
        <f>IF(ISNUMBER(NºAsuntos!G18/NºAsuntos!E18),NºAsuntos!G18/NºAsuntos!E18," - ")</f>
        <v>1.0208333333333333</v>
      </c>
      <c r="AM18" s="265">
        <f>IF(ISNUMBER(((NºAsuntos!I18/NºAsuntos!G18)*11)/factor_trimestre),((NºAsuntos!I18/NºAsuntos!G18)*11)/factor_trimestre," - ")</f>
        <v>2.2040816326530615</v>
      </c>
      <c r="AN18" s="249">
        <f>IF(ISNUMBER('Resol  Asuntos'!D18/NºAsuntos!G18),'Resol  Asuntos'!D18/NºAsuntos!G18," - ")</f>
        <v>0.16326530612244897</v>
      </c>
      <c r="AO18" s="250">
        <f>IF(ISNUMBER((NºAsuntos!C18+NºAsuntos!E18)/NºAsuntos!G18),(NºAsuntos!C18+NºAsuntos!E18)/NºAsuntos!G18," - ")</f>
        <v>1.7346938775510203</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550</v>
      </c>
      <c r="G20" s="1013">
        <f>SUBTOTAL(9,G16:G19)</f>
        <v>587</v>
      </c>
      <c r="H20" s="1012">
        <f t="shared" ref="H20:O20" si="12">SUBTOTAL(9,H15:H19)</f>
        <v>0</v>
      </c>
      <c r="I20" s="1014">
        <f t="shared" si="12"/>
        <v>0</v>
      </c>
      <c r="J20" s="1014">
        <f t="shared" si="12"/>
        <v>0</v>
      </c>
      <c r="K20" s="1014">
        <f t="shared" si="12"/>
        <v>0</v>
      </c>
      <c r="L20" s="1014">
        <f t="shared" si="12"/>
        <v>24</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366</v>
      </c>
      <c r="X20" s="1014">
        <f t="shared" si="13"/>
        <v>32</v>
      </c>
      <c r="Y20" s="1015">
        <f t="shared" si="13"/>
        <v>398</v>
      </c>
      <c r="Z20" s="1015">
        <f t="shared" si="13"/>
        <v>0</v>
      </c>
      <c r="AA20" s="1015">
        <f t="shared" si="13"/>
        <v>641</v>
      </c>
      <c r="AB20" s="1015">
        <f t="shared" si="13"/>
        <v>51</v>
      </c>
      <c r="AC20" s="1015">
        <f t="shared" si="13"/>
        <v>692</v>
      </c>
      <c r="AD20" s="1015">
        <f t="shared" si="13"/>
        <v>0</v>
      </c>
      <c r="AE20" s="1019">
        <f t="shared" si="13"/>
        <v>0</v>
      </c>
      <c r="AF20" s="1012">
        <f t="shared" si="13"/>
        <v>0</v>
      </c>
      <c r="AG20" s="1020">
        <f t="shared" si="13"/>
        <v>0</v>
      </c>
      <c r="AH20" s="1017">
        <f t="shared" si="13"/>
        <v>0</v>
      </c>
      <c r="AI20" s="1012">
        <f t="shared" si="13"/>
        <v>61</v>
      </c>
      <c r="AJ20" s="1014">
        <f t="shared" si="13"/>
        <v>0</v>
      </c>
      <c r="AK20" s="1017">
        <f t="shared" si="13"/>
        <v>0</v>
      </c>
      <c r="AL20" s="1021">
        <f>IF(ISNUMBER(NºAsuntos!G20/NºAsuntos!E20),NºAsuntos!G20/NºAsuntos!E20," - ")</f>
        <v>0.87142857142857144</v>
      </c>
      <c r="AM20" s="1021">
        <f>IF(ISNUMBER(((NºAsuntos!I20/NºAsuntos!G20)*11)/factor_trimestre),((NºAsuntos!I20/NºAsuntos!G20)*11)/factor_trimestre," - ")</f>
        <v>5.2540983606557381</v>
      </c>
      <c r="AN20" s="1022">
        <f>IF(ISNUMBER('Resol  Asuntos'!D20/NºAsuntos!G20),'Resol  Asuntos'!D20/NºAsuntos!G20," - ")</f>
        <v>0.16666666666666666</v>
      </c>
      <c r="AO20" s="1023">
        <f>IF(ISNUMBER((NºAsuntos!C20+NºAsuntos!E20)/NºAsuntos!G20),(NºAsuntos!C20+NºAsuntos!E20)/NºAsuntos!G20," - ")</f>
        <v>2.7513661202185791</v>
      </c>
      <c r="AP20" s="1024" t="str">
        <f t="shared" si="2"/>
        <v xml:space="preserve"> - </v>
      </c>
      <c r="AQ20" s="1024">
        <f>IF(ISNUMBER((H20-W20+K20)/(F20)),(H20-W20+K20)/(F20)," - ")</f>
        <v>-0.66545454545454541</v>
      </c>
      <c r="AR20" s="1025">
        <f>IF(ISNUMBER((Datos!P20-Datos!Q20)/(Datos!R20-Datos!P20+Datos!Q20)),(Datos!P20-Datos!Q20)/(Datos!R20-Datos!P20+Datos!Q20)," - ")</f>
        <v>-0.13559322033898305</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555</v>
      </c>
      <c r="G21" s="968">
        <f t="shared" si="15"/>
        <v>592</v>
      </c>
      <c r="H21" s="967">
        <f t="shared" si="15"/>
        <v>0</v>
      </c>
      <c r="I21" s="969">
        <f t="shared" si="15"/>
        <v>0</v>
      </c>
      <c r="J21" s="969">
        <f t="shared" si="15"/>
        <v>0</v>
      </c>
      <c r="K21" s="1028">
        <f t="shared" si="15"/>
        <v>0</v>
      </c>
      <c r="L21" s="969">
        <f t="shared" si="15"/>
        <v>46</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367</v>
      </c>
      <c r="X21" s="968">
        <f t="shared" si="16"/>
        <v>42</v>
      </c>
      <c r="Y21" s="975">
        <f t="shared" si="16"/>
        <v>409</v>
      </c>
      <c r="Z21" s="975">
        <f t="shared" si="16"/>
        <v>0</v>
      </c>
      <c r="AA21" s="975">
        <f t="shared" si="16"/>
        <v>646</v>
      </c>
      <c r="AB21" s="975">
        <f t="shared" si="16"/>
        <v>1624</v>
      </c>
      <c r="AC21" s="975">
        <f t="shared" si="16"/>
        <v>701</v>
      </c>
      <c r="AD21" s="975">
        <f t="shared" si="16"/>
        <v>0</v>
      </c>
      <c r="AE21" s="977">
        <f t="shared" si="16"/>
        <v>0</v>
      </c>
      <c r="AF21" s="978">
        <f t="shared" si="16"/>
        <v>0</v>
      </c>
      <c r="AG21" s="979">
        <f t="shared" si="16"/>
        <v>0</v>
      </c>
      <c r="AH21" s="977">
        <f t="shared" si="16"/>
        <v>0</v>
      </c>
      <c r="AI21" s="967">
        <f t="shared" si="16"/>
        <v>118</v>
      </c>
      <c r="AJ21" s="967">
        <f t="shared" si="16"/>
        <v>0</v>
      </c>
      <c r="AK21" s="977">
        <f t="shared" si="16"/>
        <v>0</v>
      </c>
      <c r="AL21" s="1031">
        <f>IF(ISNUMBER(NºAsuntos!G21/NºAsuntos!E21),NºAsuntos!G21/NºAsuntos!E21," - ")</f>
        <v>1.1012216404886561</v>
      </c>
      <c r="AM21" s="1032">
        <f>IF(ISNUMBER(((NºAsuntos!I21/NºAsuntos!G21)*11)/factor_trimestre),((NºAsuntos!I21/NºAsuntos!G21)*11)/factor_trimestre," - ")</f>
        <v>7.0174326465927104</v>
      </c>
      <c r="AN21" s="1032">
        <f>IF(ISNUMBER('Resol  Asuntos'!D21/NºAsuntos!G21),'Resol  Asuntos'!D21/NºAsuntos!G21," - ")</f>
        <v>0.18700475435816163</v>
      </c>
      <c r="AO21" s="1033">
        <f>IF(ISNUMBER((NºAsuntos!C21+NºAsuntos!E21)/NºAsuntos!G21),(NºAsuntos!C21+NºAsuntos!E21)/NºAsuntos!G21," - ")</f>
        <v>3.3375594294770208</v>
      </c>
      <c r="AP21" s="1034" t="str">
        <f t="shared" si="2"/>
        <v xml:space="preserve"> - </v>
      </c>
      <c r="AQ21" s="1035">
        <f>IF(OR(ISNUMBER(FIND("01",Criterios!A8,1)),ISNUMBER(FIND("02",Criterios!A8,1)),ISNUMBER(FIND("03",Criterios!A8,1)),ISNUMBER(FIND("04",Criterios!A8,1))),(I21-W21+K21)/(F21-K21),(H21-W21+K21)/(F21-K21))</f>
        <v>-0.66126126126126128</v>
      </c>
      <c r="AR21" s="1036">
        <f>IF(ISNUMBER((Datos!P21-Datos!Q21)/(Datos!R21-Datos!P21+Datos!Q21)),(Datos!P21-Datos!Q21)/(Datos!R21-Datos!P21+Datos!Q21)," - ")</f>
        <v>2.4691358024691358E-3</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236.8</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314.65589670834601</v>
      </c>
      <c r="G23" s="258">
        <f>IF(ISNUMBER(STDEV(G8:G20)),STDEV(G8:G20),"-")</f>
        <v>303.36314871783617</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179.65021569705948</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27.193136388924813</v>
      </c>
      <c r="AJ23" s="257">
        <f t="shared" si="20"/>
        <v>0</v>
      </c>
      <c r="AK23" s="259">
        <f t="shared" si="20"/>
        <v>0</v>
      </c>
      <c r="AL23" s="254">
        <f t="shared" si="20"/>
        <v>0.41767954082495301</v>
      </c>
      <c r="AM23" s="255">
        <f t="shared" si="20"/>
        <v>4.4569479548943134</v>
      </c>
      <c r="AN23" s="255">
        <f t="shared" si="20"/>
        <v>0.3336066307428861</v>
      </c>
      <c r="AO23" s="256">
        <f t="shared" si="20"/>
        <v>1.485108427713026</v>
      </c>
      <c r="AP23" s="296" t="str">
        <f t="shared" si="20"/>
        <v>-</v>
      </c>
      <c r="AQ23" s="297">
        <f t="shared" si="20"/>
        <v>0.32912606542501111</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RZVXfTEs2BKI5in3W6MCdEdA7ISX8ZKQ1YfB1vhS8KJnJsIpg916c0bSnQzYaR9JOTLK4NRw4sC6bw4ifmdDCQ==" saltValue="/dzQafp+c9qXl7I7wMjG9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REGION DE MURCIA</v>
      </c>
      <c r="E2" s="268"/>
    </row>
    <row r="3" spans="2:20" ht="17.25" customHeight="1">
      <c r="C3" s="272"/>
      <c r="D3" s="267" t="str">
        <f>Criterios!A10 &amp;"  "&amp;Criterios!B10</f>
        <v>Provincias  MURCIA</v>
      </c>
      <c r="E3" s="268"/>
    </row>
    <row r="4" spans="2:20" ht="17.25" customHeight="1" thickBot="1">
      <c r="D4" s="267" t="str">
        <f>Criterios!A11 &amp;"  "&amp;Criterios!B11</f>
        <v>Resumenes por Partidos Judiciales  YECLA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-0.70588235294117652</v>
      </c>
      <c r="E10" s="358">
        <f>IF(ISNUMBER((Datos!J10-Datos!T10)/Datos!T10),(Datos!J10-Datos!T10)/Datos!T10," - ")</f>
        <v>-0.5</v>
      </c>
      <c r="F10" s="358">
        <f>IF(ISNUMBER((Datos!K10-Datos!U10)/Datos!U10),(Datos!K10-Datos!U10)/Datos!U10," - ")</f>
        <v>-0.5</v>
      </c>
      <c r="G10" s="359">
        <f>IF(ISNUMBER((Datos!L10-Datos!V10)/Datos!V10),(Datos!L10-Datos!V10)/Datos!V10," - ")</f>
        <v>-0.375</v>
      </c>
      <c r="H10" s="235" t="str">
        <f>IF(ISNUMBER((Datos!M10-Datos!W10)/Datos!W10),(Datos!M10-Datos!W10)/Datos!W10," - ")</f>
        <v xml:space="preserve"> - </v>
      </c>
      <c r="I10" s="360">
        <f>IF(ISNUMBER((Tasas!C10-Datos!BE10)/Datos!BE10),(Tasas!C10-Datos!BE10)/Datos!BE10," - ")</f>
        <v>0.25</v>
      </c>
      <c r="J10" s="359" t="str">
        <f>IF(ISNUMBER((Tasas!D10-Datos!BF10)/Datos!BF10),(Tasas!D10-Datos!BF10)/Datos!BF10," - ")</f>
        <v xml:space="preserve"> - </v>
      </c>
      <c r="K10" s="361">
        <f>IF(ISNUMBER((Tasas!E10-Datos!BG10)/Datos!BG10),(Tasas!E10-Datos!BG10)/Datos!BG10," - ")</f>
        <v>-0.36842105263157893</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3.7037037037037035E-2</v>
      </c>
      <c r="I12" s="360">
        <f>IF(ISNUMBER((Tasas!C12-Datos!BE12)/Datos!BE12),(Tasas!C12-Datos!BE12)/Datos!BE12," - ")</f>
        <v>5.8673469387755126E-2</v>
      </c>
      <c r="J12" s="359">
        <f>IF(ISNUMBER((Tasas!D12-Datos!BF12)/Datos!BF12),(Tasas!D12-Datos!BF12)/Datos!BF12," - ")</f>
        <v>-0.18181818181818174</v>
      </c>
      <c r="K12" s="361">
        <f>IF(ISNUMBER((Tasas!E12-Datos!BG12)/Datos!BG12),(Tasas!E12-Datos!BG12)/Datos!BG12," - ")</f>
        <v>2.5542118432026754E-2</v>
      </c>
      <c r="M12" t="e">
        <f>IF(Monitorios="SI",Datos!CE12,0)</f>
        <v>#REF!</v>
      </c>
      <c r="N12" t="e">
        <f>IF(Monitorios="SI",Datos!CF12,0)</f>
        <v>#REF!</v>
      </c>
      <c r="O12" t="e">
        <f>IF(Monitorios="SI",Datos!CG12,0)</f>
        <v>#REF!</v>
      </c>
      <c r="P12" t="e">
        <f>IF(Monitorios="SI",Datos!CH12,0)</f>
        <v>#REF!</v>
      </c>
      <c r="Q12">
        <f>IF(J_V="SI",0,Datos!AG12)</f>
        <v>39</v>
      </c>
      <c r="R12">
        <f>IF(J_V="SI",0,Datos!AH12)</f>
        <v>19</v>
      </c>
      <c r="S12">
        <f>IF(J_V="SI",0,Datos!AI12)</f>
        <v>32</v>
      </c>
      <c r="T12">
        <f>IF(J_V="SI",0,Datos!AJ12)</f>
        <v>26</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5.5555555555555552E-2</v>
      </c>
      <c r="I14" s="367">
        <f>IF(ISNUMBER((Tasas!C14-Datos!BE14)/Datos!BE14),(Tasas!C14-Datos!BE14)/Datos!BE14," - ")</f>
        <v>5.8575365698537267E-2</v>
      </c>
      <c r="J14" s="365">
        <f>IF(ISNUMBER((Tasas!D14-Datos!BF14)/Datos!BF14),(Tasas!D14-Datos!BF14)/Datos!BF14," - ")</f>
        <v>-0.16476353834844396</v>
      </c>
      <c r="K14" s="368">
        <f>IF(ISNUMBER((Tasas!E14-Datos!BG14)/Datos!BG14),(Tasas!E14-Datos!BG14)/Datos!BG14," - ")</f>
        <v>1.8065495554109575E-2</v>
      </c>
      <c r="M14" t="e">
        <f>IF(Monitorios="SI",Datos!CE14,0)</f>
        <v>#REF!</v>
      </c>
      <c r="N14" t="e">
        <f>IF(Monitorios="SI",Datos!CF14,0)</f>
        <v>#REF!</v>
      </c>
      <c r="O14" t="e">
        <f>IF(Monitorios="SI",Datos!CG14,0)</f>
        <v>#REF!</v>
      </c>
      <c r="P14" t="e">
        <f>IF(Monitorios="SI",Datos!CH14,0)</f>
        <v>#REF!</v>
      </c>
      <c r="Q14">
        <f>IF(J_V="SI",0,Datos!AG14)</f>
        <v>39</v>
      </c>
      <c r="R14">
        <f>IF(J_V="SI",0,Datos!AH14)</f>
        <v>19</v>
      </c>
      <c r="S14">
        <f>IF(J_V="SI",0,Datos!AI14)</f>
        <v>32</v>
      </c>
      <c r="T14">
        <f>IF(J_V="SI",0,Datos!AJ14)</f>
        <v>26</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-4.8442906574394463E-2</v>
      </c>
      <c r="E17" s="358">
        <f>IF(ISNUMBER(
   IF(D_I="SI",(Datos!J17-Datos!T17)/Datos!T17,(Datos!J17+Datos!AD17-(Datos!T17+Datos!AL17))/(Datos!T17+Datos!AL17))
     ),IF(D_I="SI",(Datos!J17-Datos!T17)/Datos!T17,(Datos!J17+Datos!AD17-(Datos!T17+Datos!AL17))/(Datos!T17+Datos!AL17))," - ")</f>
        <v>0.17721518987341772</v>
      </c>
      <c r="F17" s="358">
        <f>IF(ISNUMBER(
   IF(D_I="SI",(Datos!K17-Datos!U17)/Datos!U17,(Datos!K17+Datos!AE17-(Datos!U17+Datos!AM17))/(Datos!U17+Datos!AM17))
     ),IF(D_I="SI",(Datos!K17-Datos!U17)/Datos!U17,(Datos!K17+Datos!AE17-(Datos!U17+Datos!AM17))/(Datos!U17+Datos!AM17))," - ")</f>
        <v>-0.12188365650969529</v>
      </c>
      <c r="G17" s="359">
        <f>IF(ISNUMBER(
   IF(D_I="SI",(Datos!L17-Datos!V17)/Datos!V17,(Datos!L17+Datos!AF17-(Datos!V17+Datos!AN17))/(Datos!V17+Datos!AN17))
     ),IF(D_I="SI",(Datos!L17-Datos!V17)/Datos!V17,(Datos!L17+Datos!AF17-(Datos!V17+Datos!AN17))/(Datos!V17+Datos!AN17))," - ")</f>
        <v>0.1350844277673546</v>
      </c>
      <c r="H17" s="235">
        <f>IF(ISNUMBER((Datos!M17-Datos!W17)/Datos!W17),(Datos!M17-Datos!W17)/Datos!W17," - ")</f>
        <v>0.10416666666666667</v>
      </c>
      <c r="I17" s="360">
        <f>IF(ISNUMBER((Tasas!C17-Datos!BE17)/Datos!BE17),(Tasas!C17-Datos!BE17)/Datos!BE17," - ")</f>
        <v>0.29263557862465306</v>
      </c>
      <c r="J17" s="359">
        <f>IF(ISNUMBER((Tasas!D17-Datos!BF17)/Datos!BF17),(Tasas!D17-Datos!BF17)/Datos!BF17," - ")</f>
        <v>0.25742639327024169</v>
      </c>
      <c r="K17" s="361">
        <f>IF(ISNUMBER((Tasas!E17-Datos!BG17)/Datos!BG17),(Tasas!E17-Datos!BG17)/Datos!BG17," - ")</f>
        <v>0.17446841544400465</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8.8235294117647065E-2</v>
      </c>
      <c r="E18" s="358">
        <f>IF(ISNUMBER(
   IF(D_I="SI",(Datos!J18-Datos!T18)/Datos!T18,(Datos!J18+Datos!AD18-(Datos!T18+Datos!AL18))/(Datos!T18+Datos!AL18))
     ),IF(D_I="SI",(Datos!J18-Datos!T18)/Datos!T18,(Datos!J18+Datos!AD18-(Datos!T18+Datos!AL18))/(Datos!T18+Datos!AL18))," - ")</f>
        <v>0.84615384615384615</v>
      </c>
      <c r="F18" s="358">
        <f>IF(ISNUMBER(
   IF(D_I="SI",(Datos!K18-Datos!U18)/Datos!U18,(Datos!K18+Datos!AE18-(Datos!U18+Datos!AM18))/(Datos!U18+Datos!AM18))
     ),IF(D_I="SI",(Datos!K18-Datos!U18)/Datos!U18,(Datos!K18+Datos!AE18-(Datos!U18+Datos!AM18))/(Datos!U18+Datos!AM18))," - ")</f>
        <v>0.96</v>
      </c>
      <c r="G18" s="359">
        <f>IF(ISNUMBER(
   IF(D_I="SI",(Datos!L18-Datos!V18)/Datos!V18,(Datos!L18+Datos!AF18-(Datos!V18+Datos!AN18))/(Datos!V18+Datos!AN18))
     ),IF(D_I="SI",(Datos!L18-Datos!V18)/Datos!V18,(Datos!L18+Datos!AF18-(Datos!V18+Datos!AN18))/(Datos!V18+Datos!AN18))," - ")</f>
        <v>2.8571428571428571E-2</v>
      </c>
      <c r="H18" s="235">
        <f>IF(ISNUMBER((Datos!M18-Datos!W18)/Datos!W18),(Datos!M18-Datos!W18)/Datos!W18," - ")</f>
        <v>-0.2</v>
      </c>
      <c r="I18" s="360">
        <f>IF(ISNUMBER((Tasas!C18-Datos!BE18)/Datos!BE18),(Tasas!C18-Datos!BE18)/Datos!BE18," - ")</f>
        <v>-0.47521865889212822</v>
      </c>
      <c r="J18" s="359">
        <f>IF(ISNUMBER((Tasas!D18-Datos!BF18)/Datos!BF18),(Tasas!D18-Datos!BF18)/Datos!BF18," - ")</f>
        <v>-0.59183673469387765</v>
      </c>
      <c r="K18" s="361">
        <f>IF(ISNUMBER((Tasas!E18-Datos!BG18)/Datos!BG18),(Tasas!E18-Datos!BG18)/Datos!BG18," - ")</f>
        <v>-0.27721088435374153</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-4.084967320261438E-2</v>
      </c>
      <c r="E20" s="364">
        <f>IF(ISNUMBER(
   IF(D_I="SI",(Datos!J20-Datos!T20)/Datos!T20,(Datos!J20+Datos!AD20-(Datos!T20+Datos!AL20))/(Datos!T20+Datos!AL20))
     ),IF(D_I="SI",(Datos!J20-Datos!T20)/Datos!T20,(Datos!J20+Datos!AD20-(Datos!T20+Datos!AL20))/(Datos!T20+Datos!AL20))," - ")</f>
        <v>0.22807017543859648</v>
      </c>
      <c r="F20" s="364">
        <f>IF(ISNUMBER(
   IF(D_I="SI",(Datos!K20-Datos!U20)/Datos!U20,(Datos!K20+Datos!AE20-(Datos!U20+Datos!AM20))/(Datos!U20+Datos!AM20))
     ),IF(D_I="SI",(Datos!K20-Datos!U20)/Datos!U20,(Datos!K20+Datos!AE20-(Datos!U20+Datos!AM20))/(Datos!U20+Datos!AM20))," - ")</f>
        <v>-5.181347150259067E-2</v>
      </c>
      <c r="G20" s="365">
        <f>IF(ISNUMBER(
   IF(D_I="SI",(Datos!L20-Datos!V20)/Datos!V20,(Datos!L20+Datos!AF20-(Datos!V20+Datos!AN20))/(Datos!V20+Datos!AN20))
     ),IF(D_I="SI",(Datos!L20-Datos!V20)/Datos!V20,(Datos!L20+Datos!AF20-(Datos!V20+Datos!AN20))/(Datos!V20+Datos!AN20))," - ")</f>
        <v>0.12852112676056338</v>
      </c>
      <c r="H20" s="366">
        <f>IF(ISNUMBER((Datos!M20-Datos!W20)/Datos!W20),(Datos!M20-Datos!W20)/Datos!W20," - ")</f>
        <v>5.1724137931034482E-2</v>
      </c>
      <c r="I20" s="367">
        <f>IF(ISNUMBER((Tasas!C20-Datos!BE20)/Datos!BE20),(Tasas!C20-Datos!BE20)/Datos!BE20," - ")</f>
        <v>0.19018894789502053</v>
      </c>
      <c r="J20" s="365">
        <f>IF(ISNUMBER((Tasas!D20-Datos!BF20)/Datos!BF20),(Tasas!D20-Datos!BF20)/Datos!BF20," - ")</f>
        <v>0.10919540229885047</v>
      </c>
      <c r="K20" s="368">
        <f>IF(ISNUMBER((Tasas!E20-Datos!BG20)/Datos!BG20),(Tasas!E20-Datos!BG20)/Datos!BG20," - ")</f>
        <v>0.11323618700667878</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1.7252820172528202E-2</v>
      </c>
      <c r="E21" s="373">
        <f>IF(ISNUMBER(
   IF(J_V="SI",(Datos!J21-Datos!T21)/Datos!T21,(Datos!J21+Datos!Z21-(Datos!T21+Datos!AH21))/(Datos!T21+Datos!AH21))
     ),IF(J_V="SI",(Datos!J21-Datos!T21)/Datos!T21,(Datos!J21+Datos!Z21-(Datos!T21+Datos!AH21))/(Datos!T21+Datos!AH21))," - ")</f>
        <v>-0.13834586466165413</v>
      </c>
      <c r="F21" s="373">
        <f>IF(ISNUMBER(
   IF(J_V="SI",(Datos!K21-Datos!U21)/Datos!U21,(Datos!K21+Datos!AA21-(Datos!U21+Datos!AI21))/(Datos!U21+Datos!AI21))
     ),IF(J_V="SI",(Datos!K21-Datos!U21)/Datos!U21,(Datos!K21+Datos!AA21-(Datos!U21+Datos!AI21))/(Datos!U21+Datos!AI21))," - ")</f>
        <v>-7.8832116788321166E-2</v>
      </c>
      <c r="G21" s="374">
        <f>IF(ISNUMBER(
   IF(J_V="SI",(Datos!L21-Datos!V21)/Datos!V21,(Datos!L21+Datos!AB21-(Datos!V21+Datos!AJ21))/(Datos!V21+Datos!AJ21))
     ),IF(J_V="SI",(Datos!L21-Datos!V21)/Datos!V21,(Datos!L21+Datos!AB21-(Datos!V21+Datos!AJ21))/(Datos!V21+Datos!AJ21))," - ")</f>
        <v>1.2345679012345678E-2</v>
      </c>
      <c r="H21" s="375">
        <f>IF(ISNUMBER((Datos!M21-Datos!W21)/Datos!W21),(Datos!M21-Datos!W21)/Datos!W21," - ")</f>
        <v>5.3571428571428568E-2</v>
      </c>
      <c r="I21" s="372">
        <f>IF(ISNUMBER((Tasas!C21-Datos!BE21)/Datos!BE21),(Tasas!C21-Datos!BE21)/Datos!BE21," - ")</f>
        <v>9.8980649957934652E-2</v>
      </c>
      <c r="J21" s="373">
        <f>IF(ISNUMBER((Tasas!D21-Datos!BF21)/Datos!BF21),(Tasas!D21-Datos!BF21)/Datos!BF21," - ")</f>
        <v>-5.1124024182661383E-2</v>
      </c>
      <c r="K21" s="374">
        <f>IF(ISNUMBER((Tasas!E21-Datos!BG21)/Datos!BG21),(Tasas!E21-Datos!BG21)/Datos!BG21," - ")</f>
        <v>5.259125653395906E-2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0.35829683279080693</v>
      </c>
      <c r="E23" s="283">
        <f t="shared" si="1"/>
        <v>0.55022187575416703</v>
      </c>
      <c r="F23" s="283">
        <f t="shared" si="1"/>
        <v>0.62413885418930615</v>
      </c>
      <c r="G23" s="284">
        <f t="shared" si="1"/>
        <v>0.24117206592494581</v>
      </c>
      <c r="H23" s="290">
        <f t="shared" si="1"/>
        <v>0.11991050286995303</v>
      </c>
      <c r="I23" s="282">
        <f t="shared" si="1"/>
        <v>0.28056888624955068</v>
      </c>
      <c r="J23" s="283">
        <f t="shared" si="1"/>
        <v>0.32529882233949492</v>
      </c>
      <c r="K23" s="284">
        <f t="shared" si="1"/>
        <v>0.21925064315421933</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pEr+gwRVuVteKh33SvCW5n3OZTK2+MJgmcQUrcfOevFnt+07LiJbQ9fgx2nc3Qb2DBaAbElqF/TsA+ezJaMihQ==" saltValue="/tsslWo0rXniLBXSBw0g/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2023-06-06T09:16:36Z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